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rl\Documents\Budget 2026-2027\PRESENTATION\"/>
    </mc:Choice>
  </mc:AlternateContent>
  <xr:revisionPtr revIDLastSave="0" documentId="13_ncr:1_{A241133A-7532-4BC4-AF07-4786A0D9EFAE}" xr6:coauthVersionLast="47" xr6:coauthVersionMax="47" xr10:uidLastSave="{00000000-0000-0000-0000-000000000000}"/>
  <bookViews>
    <workbookView xWindow="-110" yWindow="-110" windowWidth="19420" windowHeight="10420" xr2:uid="{2A350BD1-0040-4B29-8B1D-8D62494BF6A3}"/>
  </bookViews>
  <sheets>
    <sheet name="GENERAL" sheetId="1" r:id="rId1"/>
    <sheet name="Enterprise Funds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2" l="1"/>
  <c r="C57" i="2"/>
  <c r="C41" i="2"/>
  <c r="E41" i="2"/>
  <c r="C40" i="2"/>
  <c r="E40" i="2" s="1"/>
  <c r="B28" i="2"/>
  <c r="C28" i="2"/>
  <c r="C23" i="2"/>
  <c r="E64" i="2"/>
  <c r="E60" i="2"/>
  <c r="E55" i="2"/>
  <c r="E50" i="2"/>
  <c r="E46" i="2"/>
  <c r="E44" i="2"/>
  <c r="E35" i="2"/>
  <c r="E34" i="2"/>
  <c r="E33" i="2"/>
  <c r="E29" i="2"/>
  <c r="E27" i="2"/>
  <c r="E24" i="2"/>
  <c r="E23" i="2"/>
  <c r="E18" i="2"/>
  <c r="E17" i="2"/>
  <c r="E15" i="2"/>
  <c r="E14" i="2"/>
  <c r="E13" i="2"/>
  <c r="E12" i="2"/>
  <c r="E11" i="2"/>
  <c r="E9" i="2"/>
  <c r="E8" i="2"/>
  <c r="E7" i="2"/>
  <c r="C12" i="2"/>
  <c r="C8" i="2"/>
  <c r="C7" i="2"/>
  <c r="B24" i="1"/>
  <c r="B26" i="1"/>
  <c r="B31" i="1"/>
  <c r="I31" i="1" s="1"/>
  <c r="I42" i="1"/>
  <c r="I41" i="1"/>
  <c r="I40" i="1"/>
  <c r="I39" i="1"/>
  <c r="I38" i="1"/>
  <c r="I37" i="1"/>
  <c r="I34" i="1"/>
  <c r="I33" i="1"/>
  <c r="I32" i="1"/>
  <c r="I28" i="1"/>
  <c r="I27" i="1"/>
  <c r="I26" i="1"/>
  <c r="I25" i="1"/>
  <c r="I24" i="1"/>
  <c r="I21" i="1"/>
  <c r="I20" i="1"/>
  <c r="I19" i="1"/>
  <c r="I18" i="1"/>
  <c r="I16" i="1"/>
  <c r="I15" i="1"/>
  <c r="I14" i="1"/>
  <c r="I13" i="1"/>
  <c r="I12" i="1"/>
  <c r="I11" i="1"/>
  <c r="I10" i="1"/>
  <c r="I9" i="1"/>
  <c r="I8" i="1"/>
  <c r="I7" i="1"/>
  <c r="I6" i="1"/>
  <c r="C32" i="1"/>
  <c r="C31" i="1"/>
  <c r="C24" i="1"/>
  <c r="C28" i="1"/>
  <c r="E28" i="1" s="1"/>
  <c r="C26" i="1"/>
  <c r="E65" i="2"/>
  <c r="E45" i="2"/>
  <c r="E28" i="2"/>
  <c r="B70" i="2"/>
  <c r="B65" i="2"/>
  <c r="B64" i="2"/>
  <c r="B60" i="2"/>
  <c r="B19" i="2"/>
  <c r="B45" i="2"/>
  <c r="B55" i="2"/>
  <c r="B50" i="2"/>
  <c r="B44" i="2"/>
  <c r="B41" i="2"/>
  <c r="B40" i="2"/>
  <c r="B23" i="2"/>
  <c r="B34" i="2"/>
  <c r="B27" i="2"/>
  <c r="B33" i="2"/>
  <c r="B24" i="2"/>
  <c r="B12" i="2"/>
  <c r="B8" i="2"/>
  <c r="B13" i="2"/>
  <c r="B11" i="2"/>
  <c r="H43" i="1"/>
  <c r="H42" i="1"/>
  <c r="H41" i="1"/>
  <c r="H40" i="1"/>
  <c r="H39" i="1"/>
  <c r="H38" i="1"/>
  <c r="H37" i="1"/>
  <c r="H35" i="1"/>
  <c r="H34" i="1"/>
  <c r="H33" i="1"/>
  <c r="H32" i="1"/>
  <c r="H31" i="1"/>
  <c r="H29" i="1"/>
  <c r="H28" i="1"/>
  <c r="H26" i="1"/>
  <c r="H25" i="1"/>
  <c r="H24" i="1"/>
  <c r="H18" i="1"/>
  <c r="H16" i="1"/>
  <c r="H15" i="1"/>
  <c r="H14" i="1"/>
  <c r="H13" i="1"/>
  <c r="H12" i="1"/>
  <c r="H11" i="1"/>
  <c r="H10" i="1"/>
  <c r="H9" i="1"/>
  <c r="H8" i="1"/>
  <c r="H7" i="1"/>
  <c r="H6" i="1"/>
  <c r="G40" i="1"/>
  <c r="G39" i="1"/>
  <c r="G38" i="1"/>
  <c r="G24" i="1"/>
  <c r="G33" i="1"/>
  <c r="G32" i="1"/>
  <c r="G31" i="1"/>
  <c r="G28" i="1"/>
  <c r="G26" i="1"/>
  <c r="G16" i="1"/>
  <c r="G14" i="1"/>
  <c r="G12" i="1"/>
  <c r="G11" i="1"/>
  <c r="G10" i="1"/>
  <c r="G9" i="1"/>
  <c r="G8" i="1"/>
  <c r="E42" i="1"/>
  <c r="E41" i="1"/>
  <c r="E40" i="1"/>
  <c r="E39" i="1"/>
  <c r="E38" i="1"/>
  <c r="E37" i="1"/>
  <c r="E34" i="1"/>
  <c r="E33" i="1"/>
  <c r="E32" i="1"/>
  <c r="E31" i="1"/>
  <c r="E27" i="1"/>
  <c r="E26" i="1"/>
  <c r="E25" i="1"/>
  <c r="E24" i="1"/>
  <c r="E16" i="1"/>
  <c r="E15" i="1"/>
  <c r="E14" i="1"/>
  <c r="E13" i="1"/>
  <c r="E12" i="1"/>
  <c r="E11" i="1"/>
  <c r="E10" i="1"/>
  <c r="E9" i="1"/>
  <c r="E8" i="1"/>
  <c r="E7" i="1"/>
  <c r="E6" i="1"/>
  <c r="B16" i="1" l="1"/>
  <c r="G35" i="1"/>
  <c r="F35" i="1"/>
  <c r="F31" i="1"/>
  <c r="F28" i="1"/>
  <c r="F24" i="1"/>
  <c r="F26" i="1"/>
  <c r="F21" i="1"/>
  <c r="F20" i="1"/>
  <c r="F19" i="1"/>
  <c r="F16" i="1"/>
  <c r="B19" i="1"/>
  <c r="F38" i="1"/>
  <c r="F32" i="1"/>
  <c r="B32" i="1"/>
  <c r="D32" i="1" s="1"/>
  <c r="B28" i="1"/>
  <c r="B67" i="2"/>
  <c r="D67" i="2"/>
  <c r="D62" i="2"/>
  <c r="D68" i="2" s="1"/>
  <c r="D73" i="2" s="1"/>
  <c r="C61" i="2"/>
  <c r="C62" i="2" s="1"/>
  <c r="E62" i="2" s="1"/>
  <c r="B62" i="2"/>
  <c r="D42" i="2"/>
  <c r="D47" i="2"/>
  <c r="D14" i="2"/>
  <c r="D15" i="2" s="1"/>
  <c r="D20" i="2" s="1"/>
  <c r="D30" i="2"/>
  <c r="D25" i="2"/>
  <c r="B17" i="2"/>
  <c r="D6" i="1"/>
  <c r="B18" i="1"/>
  <c r="D9" i="1"/>
  <c r="D40" i="1"/>
  <c r="D14" i="1"/>
  <c r="D13" i="1"/>
  <c r="D12" i="1"/>
  <c r="D11" i="1"/>
  <c r="D10" i="1"/>
  <c r="D7" i="1"/>
  <c r="D42" i="1"/>
  <c r="D41" i="1"/>
  <c r="D39" i="1"/>
  <c r="D38" i="1"/>
  <c r="D37" i="1"/>
  <c r="F34" i="1"/>
  <c r="D34" i="1"/>
  <c r="D33" i="1"/>
  <c r="G29" i="1"/>
  <c r="G27" i="1"/>
  <c r="F29" i="1"/>
  <c r="D25" i="1"/>
  <c r="D24" i="1"/>
  <c r="D16" i="1"/>
  <c r="D15" i="1"/>
  <c r="C18" i="1"/>
  <c r="G18" i="1"/>
  <c r="G21" i="1" s="1"/>
  <c r="F18" i="1"/>
  <c r="C21" i="1" l="1"/>
  <c r="E18" i="1"/>
  <c r="C14" i="2"/>
  <c r="C67" i="2"/>
  <c r="B21" i="1"/>
  <c r="B29" i="1"/>
  <c r="I29" i="1" s="1"/>
  <c r="C35" i="1"/>
  <c r="D26" i="1"/>
  <c r="C29" i="1"/>
  <c r="F43" i="1"/>
  <c r="F45" i="1" s="1"/>
  <c r="D18" i="1"/>
  <c r="D21" i="1" s="1"/>
  <c r="B68" i="2"/>
  <c r="B73" i="2" s="1"/>
  <c r="C42" i="2"/>
  <c r="E42" i="2" s="1"/>
  <c r="D48" i="2"/>
  <c r="D57" i="2" s="1"/>
  <c r="B14" i="2"/>
  <c r="B42" i="2"/>
  <c r="C25" i="2"/>
  <c r="E25" i="2" s="1"/>
  <c r="B47" i="2"/>
  <c r="C47" i="2"/>
  <c r="D31" i="2"/>
  <c r="D37" i="2" s="1"/>
  <c r="B25" i="2"/>
  <c r="B9" i="2"/>
  <c r="C30" i="2"/>
  <c r="C9" i="2"/>
  <c r="B30" i="2"/>
  <c r="D8" i="1"/>
  <c r="B35" i="1"/>
  <c r="I35" i="1" s="1"/>
  <c r="D31" i="1"/>
  <c r="G43" i="1"/>
  <c r="G45" i="1" s="1"/>
  <c r="C68" i="2" l="1"/>
  <c r="C73" i="2" s="1"/>
  <c r="E67" i="2"/>
  <c r="C48" i="2"/>
  <c r="E47" i="2"/>
  <c r="E48" i="2"/>
  <c r="E30" i="2"/>
  <c r="C15" i="2"/>
  <c r="C20" i="2" s="1"/>
  <c r="E35" i="1"/>
  <c r="D29" i="1"/>
  <c r="E29" i="1"/>
  <c r="C31" i="2"/>
  <c r="B15" i="2"/>
  <c r="D35" i="1"/>
  <c r="C43" i="1"/>
  <c r="B48" i="2"/>
  <c r="B57" i="2" s="1"/>
  <c r="B31" i="2"/>
  <c r="B37" i="2" s="1"/>
  <c r="B43" i="1"/>
  <c r="C37" i="2" l="1"/>
  <c r="E37" i="2" s="1"/>
  <c r="E31" i="2"/>
  <c r="B45" i="1"/>
  <c r="I43" i="1"/>
  <c r="B20" i="2"/>
  <c r="C45" i="1"/>
  <c r="E43" i="1"/>
  <c r="D43" i="1"/>
</calcChain>
</file>

<file path=xl/sharedStrings.xml><?xml version="1.0" encoding="utf-8"?>
<sst xmlns="http://schemas.openxmlformats.org/spreadsheetml/2006/main" count="112" uniqueCount="86">
  <si>
    <t>VILLAGE OF WELLSVILLE</t>
  </si>
  <si>
    <t>FINANCIAL STATEMENTS COMPARISON</t>
  </si>
  <si>
    <t>REVENUES:</t>
  </si>
  <si>
    <t xml:space="preserve">  Real property taxes</t>
  </si>
  <si>
    <t xml:space="preserve">  Real property tax items</t>
  </si>
  <si>
    <t xml:space="preserve">  Non-property taxes</t>
  </si>
  <si>
    <t xml:space="preserve">  Departmental income</t>
  </si>
  <si>
    <t xml:space="preserve">  Intergovernmental charges</t>
  </si>
  <si>
    <t xml:space="preserve">  Use of money &amp; property</t>
  </si>
  <si>
    <t xml:space="preserve">  Licenses and permits</t>
  </si>
  <si>
    <t xml:space="preserve">  Fines &amp; Forfeitures</t>
  </si>
  <si>
    <t xml:space="preserve">  Sale of property/Compensation for loss</t>
  </si>
  <si>
    <t xml:space="preserve">  Miscellaneous local sources</t>
  </si>
  <si>
    <t xml:space="preserve">  State Aid </t>
  </si>
  <si>
    <t xml:space="preserve">  Federal Aid</t>
  </si>
  <si>
    <t xml:space="preserve">       Total Revenues</t>
  </si>
  <si>
    <t xml:space="preserve">  General government support</t>
  </si>
  <si>
    <t xml:space="preserve">  Public safety</t>
  </si>
  <si>
    <t xml:space="preserve">  Health</t>
  </si>
  <si>
    <t xml:space="preserve">  Transportation</t>
  </si>
  <si>
    <t xml:space="preserve">  Home &amp; community services</t>
  </si>
  <si>
    <t xml:space="preserve">  Employee benefits</t>
  </si>
  <si>
    <t xml:space="preserve">  Debt Service - principal</t>
  </si>
  <si>
    <t xml:space="preserve">  Debt Service - interest</t>
  </si>
  <si>
    <t xml:space="preserve">       Total Expenditures</t>
  </si>
  <si>
    <t>EXPENDITURES:</t>
  </si>
  <si>
    <t>2024-25</t>
  </si>
  <si>
    <t>BUDGET</t>
  </si>
  <si>
    <t>ACTUAL</t>
  </si>
  <si>
    <t>EXCESS (DEFICIENCY) OF REVENUES</t>
  </si>
  <si>
    <t xml:space="preserve">    Fire Service</t>
  </si>
  <si>
    <t xml:space="preserve">    Code Enforcement</t>
  </si>
  <si>
    <t xml:space="preserve">    Building Demo</t>
  </si>
  <si>
    <t xml:space="preserve">    Police, parking, traffic control</t>
  </si>
  <si>
    <t xml:space="preserve">    Village Justice</t>
  </si>
  <si>
    <t xml:space="preserve">    DPW Equipment purchases</t>
  </si>
  <si>
    <t>% of 24-25</t>
  </si>
  <si>
    <t>GENERAL FUND</t>
  </si>
  <si>
    <t xml:space="preserve">   Charges for services</t>
  </si>
  <si>
    <t xml:space="preserve">   Other income</t>
  </si>
  <si>
    <t xml:space="preserve">   Interest income</t>
  </si>
  <si>
    <t xml:space="preserve">   Contractual expense</t>
  </si>
  <si>
    <t xml:space="preserve">   Depreciation/amortization</t>
  </si>
  <si>
    <t xml:space="preserve">           Electric net income/loss</t>
  </si>
  <si>
    <t xml:space="preserve">   Salaries, wages &amp; benefits</t>
  </si>
  <si>
    <t xml:space="preserve">   Interest Expense</t>
  </si>
  <si>
    <t>WATER FUND:</t>
  </si>
  <si>
    <t>ELECTRIC FUND:</t>
  </si>
  <si>
    <t xml:space="preserve">      Water Operating Expense</t>
  </si>
  <si>
    <t xml:space="preserve">     Water Operating income</t>
  </si>
  <si>
    <t>Interest Income</t>
  </si>
  <si>
    <t>Interest Expense</t>
  </si>
  <si>
    <t xml:space="preserve">           Water net income/loss</t>
  </si>
  <si>
    <t xml:space="preserve">                Net Operating Income</t>
  </si>
  <si>
    <t xml:space="preserve">       Electric Operating Income</t>
  </si>
  <si>
    <t xml:space="preserve">        Electric Operating Expenses</t>
  </si>
  <si>
    <t xml:space="preserve">        Net Operating Income</t>
  </si>
  <si>
    <t>SEWER FUND:</t>
  </si>
  <si>
    <t>Capital Grants</t>
  </si>
  <si>
    <t>Insurance losses</t>
  </si>
  <si>
    <t>Other Misc Income</t>
  </si>
  <si>
    <t>REFUSE FUND:</t>
  </si>
  <si>
    <t xml:space="preserve">     Sewer Operating income</t>
  </si>
  <si>
    <t xml:space="preserve">      Sewer Operating Expense</t>
  </si>
  <si>
    <t xml:space="preserve">     Refuse Operating income</t>
  </si>
  <si>
    <t xml:space="preserve">      Refuse Operating Expense</t>
  </si>
  <si>
    <t xml:space="preserve">           Sewer net income/loss</t>
  </si>
  <si>
    <t xml:space="preserve">           Refuse net income/loss</t>
  </si>
  <si>
    <t>2025-26</t>
  </si>
  <si>
    <t xml:space="preserve">    Board/Clerk Administration/Municipal Bldg</t>
  </si>
  <si>
    <t xml:space="preserve">    DPW Admin. &amp; Engineering</t>
  </si>
  <si>
    <t xml:space="preserve">    Special items - Contingency, Insurance, Econ Dev</t>
  </si>
  <si>
    <t xml:space="preserve">       Appropriations from Reserves</t>
  </si>
  <si>
    <t xml:space="preserve">      Appropriations from Restricted or Other Funds</t>
  </si>
  <si>
    <t xml:space="preserve">                       Total Revenues &amp; Other Sources</t>
  </si>
  <si>
    <t>Appropriations for Equipment &amp; Debt</t>
  </si>
  <si>
    <t xml:space="preserve">   Appropriations for Equipment &amp; Debt</t>
  </si>
  <si>
    <t xml:space="preserve">  Interest Income</t>
  </si>
  <si>
    <t xml:space="preserve">  Interest Expense</t>
  </si>
  <si>
    <t xml:space="preserve">  Appropriations for Equipment &amp; Debt</t>
  </si>
  <si>
    <t>% OF BUDGET</t>
  </si>
  <si>
    <t>VILLAGE OF WELLSVILLE ENTERPRISE FUNDS</t>
  </si>
  <si>
    <t>2026-27</t>
  </si>
  <si>
    <t>CHANGE</t>
  </si>
  <si>
    <t>YEAR OVER YEAR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</si>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</sst>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164" fontId="4" fillId="0" borderId="0" xfId="1" applyNumberFormat="1" applyFont="1"/>
    <xf numFmtId="164" fontId="1" fillId="0" borderId="0" xfId="1" applyNumberFormat="1" applyFont="1"/>
    <xf numFmtId="9" fontId="0" fillId="0" borderId="0" xfId="2" applyFont="1"/>
    <xf numFmtId="164" fontId="4" fillId="0" borderId="0" xfId="1" applyNumberFormat="1" applyFont="1" applyBorder="1"/>
    <xf numFmtId="164" fontId="5" fillId="0" borderId="0" xfId="1" applyNumberFormat="1" applyFont="1" applyBorder="1"/>
    <xf numFmtId="164" fontId="1" fillId="0" borderId="0" xfId="1" applyNumberFormat="1" applyFont="1" applyBorder="1"/>
    <xf numFmtId="0" fontId="2" fillId="0" borderId="1" xfId="0" applyFont="1" applyBorder="1"/>
    <xf numFmtId="164" fontId="0" fillId="0" borderId="2" xfId="1" applyNumberFormat="1" applyFont="1" applyBorder="1"/>
    <xf numFmtId="9" fontId="0" fillId="0" borderId="2" xfId="2" applyFont="1" applyBorder="1"/>
    <xf numFmtId="0" fontId="0" fillId="0" borderId="3" xfId="0" applyBorder="1"/>
    <xf numFmtId="164" fontId="0" fillId="0" borderId="0" xfId="1" applyNumberFormat="1" applyFont="1" applyBorder="1"/>
    <xf numFmtId="0" fontId="0" fillId="0" borderId="5" xfId="0" applyBorder="1"/>
    <xf numFmtId="164" fontId="0" fillId="0" borderId="6" xfId="1" applyNumberFormat="1" applyFont="1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9" fontId="0" fillId="0" borderId="0" xfId="2" applyFont="1" applyBorder="1"/>
    <xf numFmtId="9" fontId="4" fillId="0" borderId="0" xfId="2" applyFont="1" applyBorder="1"/>
    <xf numFmtId="164" fontId="4" fillId="0" borderId="0" xfId="0" applyNumberFormat="1" applyFont="1"/>
    <xf numFmtId="9" fontId="1" fillId="0" borderId="0" xfId="2" applyFont="1" applyBorder="1"/>
    <xf numFmtId="9" fontId="0" fillId="0" borderId="6" xfId="2" applyFont="1" applyBorder="1"/>
    <xf numFmtId="9" fontId="1" fillId="0" borderId="0" xfId="2" applyFont="1"/>
    <xf numFmtId="9" fontId="4" fillId="0" borderId="0" xfId="2" applyFont="1"/>
    <xf numFmtId="164" fontId="2" fillId="0" borderId="0" xfId="1" applyNumberFormat="1" applyFont="1"/>
    <xf numFmtId="9" fontId="2" fillId="0" borderId="0" xfId="2" applyFont="1"/>
    <xf numFmtId="9" fontId="0" fillId="0" borderId="0" xfId="2" applyFont="1" applyFill="1"/>
    <xf numFmtId="164" fontId="0" fillId="0" borderId="0" xfId="1" applyNumberFormat="1" applyFont="1" applyFill="1"/>
    <xf numFmtId="164" fontId="2" fillId="0" borderId="0" xfId="1" applyNumberFormat="1" applyFont="1" applyFill="1"/>
    <xf numFmtId="9" fontId="2" fillId="0" borderId="0" xfId="2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0" fillId="2" borderId="0" xfId="1" applyNumberFormat="1" applyFont="1" applyFill="1"/>
    <xf numFmtId="164" fontId="4" fillId="2" borderId="0" xfId="1" applyNumberFormat="1" applyFont="1" applyFill="1"/>
    <xf numFmtId="164" fontId="2" fillId="2" borderId="0" xfId="1" applyNumberFormat="1" applyFont="1" applyFill="1"/>
    <xf numFmtId="164" fontId="1" fillId="2" borderId="0" xfId="1" applyNumberFormat="1" applyFont="1" applyFill="1"/>
    <xf numFmtId="0" fontId="0" fillId="2" borderId="0" xfId="0" applyFill="1"/>
    <xf numFmtId="14" fontId="3" fillId="2" borderId="0" xfId="0" applyNumberFormat="1" applyFont="1" applyFill="1" applyAlignment="1">
      <alignment horizontal="center"/>
    </xf>
    <xf numFmtId="9" fontId="6" fillId="0" borderId="0" xfId="2" applyFont="1"/>
    <xf numFmtId="164" fontId="0" fillId="0" borderId="0" xfId="1" applyNumberFormat="1" applyFont="1" applyFill="1" applyBorder="1"/>
    <xf numFmtId="14" fontId="2" fillId="0" borderId="7" xfId="0" applyNumberFormat="1" applyFont="1" applyBorder="1" applyAlignment="1">
      <alignment horizontal="center" wrapText="1"/>
    </xf>
    <xf numFmtId="0" fontId="0" fillId="0" borderId="8" xfId="0" applyBorder="1"/>
    <xf numFmtId="9" fontId="0" fillId="0" borderId="8" xfId="2" applyFont="1" applyBorder="1"/>
    <xf numFmtId="0" fontId="0" fillId="0" borderId="9" xfId="0" applyBorder="1"/>
    <xf numFmtId="0" fontId="3" fillId="0" borderId="8" xfId="0" applyFont="1" applyBorder="1" applyAlignment="1">
      <alignment horizontal="center"/>
    </xf>
    <xf numFmtId="164" fontId="0" fillId="0" borderId="8" xfId="1" applyNumberFormat="1" applyFont="1" applyBorder="1"/>
    <xf numFmtId="9" fontId="0" fillId="0" borderId="8" xfId="2" applyFont="1" applyFill="1" applyBorder="1"/>
    <xf numFmtId="164" fontId="5" fillId="0" borderId="0" xfId="1" applyNumberFormat="1" applyFont="1" applyFill="1" applyBorder="1"/>
    <xf numFmtId="164" fontId="5" fillId="0" borderId="4" xfId="1" applyNumberFormat="1" applyFont="1" applyFill="1" applyBorder="1"/>
    <xf numFmtId="164" fontId="0" fillId="0" borderId="6" xfId="1" applyNumberFormat="1" applyFont="1" applyFill="1" applyBorder="1"/>
    <xf numFmtId="164" fontId="0" fillId="0" borderId="9" xfId="1" applyNumberFormat="1" applyFont="1" applyFill="1" applyBorder="1"/>
    <xf numFmtId="14" fontId="2" fillId="2" borderId="2" xfId="0" applyNumberFormat="1" applyFont="1" applyFill="1" applyBorder="1" applyAlignment="1">
      <alignment horizontal="center"/>
    </xf>
    <xf numFmtId="164" fontId="0" fillId="2" borderId="0" xfId="1" applyNumberFormat="1" applyFont="1" applyFill="1" applyBorder="1"/>
    <xf numFmtId="164" fontId="4" fillId="2" borderId="0" xfId="1" applyNumberFormat="1" applyFont="1" applyFill="1" applyBorder="1"/>
    <xf numFmtId="164" fontId="4" fillId="2" borderId="0" xfId="0" applyNumberFormat="1" applyFont="1" applyFill="1"/>
    <xf numFmtId="164" fontId="1" fillId="2" borderId="0" xfId="1" applyNumberFormat="1" applyFont="1" applyFill="1" applyBorder="1"/>
    <xf numFmtId="164" fontId="0" fillId="2" borderId="6" xfId="1" applyNumberFormat="1" applyFont="1" applyFill="1" applyBorder="1"/>
    <xf numFmtId="164" fontId="0" fillId="2" borderId="2" xfId="1" applyNumberFormat="1" applyFont="1" applyFill="1" applyBorder="1"/>
    <xf numFmtId="164" fontId="5" fillId="2" borderId="0" xfId="1" applyNumberFormat="1" applyFont="1" applyFill="1" applyBorder="1"/>
    <xf numFmtId="164" fontId="5" fillId="2" borderId="4" xfId="1" applyNumberFormat="1" applyFont="1" applyFill="1" applyBorder="1"/>
    <xf numFmtId="14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4" fontId="0" fillId="3" borderId="0" xfId="1" applyNumberFormat="1" applyFont="1" applyFill="1"/>
    <xf numFmtId="164" fontId="4" fillId="3" borderId="0" xfId="1" applyNumberFormat="1" applyFont="1" applyFill="1"/>
    <xf numFmtId="164" fontId="2" fillId="3" borderId="0" xfId="1" applyNumberFormat="1" applyFont="1" applyFill="1"/>
    <xf numFmtId="164" fontId="1" fillId="3" borderId="0" xfId="1" applyNumberFormat="1" applyFont="1" applyFill="1"/>
    <xf numFmtId="0" fontId="0" fillId="3" borderId="0" xfId="0" applyFill="1"/>
    <xf numFmtId="0" fontId="0" fillId="0" borderId="0" xfId="0" applyAlignment="1">
      <alignment horizontal="center"/>
    </xf>
    <xf numFmtId="9" fontId="0" fillId="0" borderId="0" xfId="2" applyFont="1" applyAlignment="1">
      <alignment horizontal="center"/>
    </xf>
    <xf numFmtId="10" fontId="0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arl\Documents\BUDGET%202025-2026\2025-2026%20TENTATIVE%20%20BUDGET.xls" TargetMode="External"/><Relationship Id="rId1" Type="http://schemas.openxmlformats.org/officeDocument/2006/relationships/externalLinkPath" Target="/Users/Earl/Documents/BUDGET%202025-2026/2025-2026%20TENTATIVE%20%20BUDGE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arl\Documents\BUDGET%202025-2026\ADOPTED%20BUDGET\2025-2026%20ADOPTED%20%20BUDGET.xls" TargetMode="External"/><Relationship Id="rId1" Type="http://schemas.openxmlformats.org/officeDocument/2006/relationships/externalLinkPath" Target="/Users/Earl/Documents/BUDGET%202025-2026/ADOPTED%20BUDGET/2025-2026%20ADOPTED%20%20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 Budget A"/>
      <sheetName val="Elect Budget E"/>
      <sheetName val="Water Budget F"/>
      <sheetName val="Sewer Budget G"/>
      <sheetName val="Refuse Budget R"/>
      <sheetName val="FIRE DEPT"/>
      <sheetName val="Sheet1"/>
    </sheetNames>
    <sheetDataSet>
      <sheetData sheetId="0">
        <row r="14">
          <cell r="C14">
            <v>2372874.5716500003</v>
          </cell>
        </row>
        <row r="308">
          <cell r="H308">
            <v>0</v>
          </cell>
        </row>
        <row r="778">
          <cell r="D778">
            <v>45500</v>
          </cell>
        </row>
      </sheetData>
      <sheetData sheetId="1">
        <row r="97">
          <cell r="C97">
            <v>50000</v>
          </cell>
        </row>
        <row r="103">
          <cell r="C103">
            <v>4000</v>
          </cell>
        </row>
      </sheetData>
      <sheetData sheetId="2">
        <row r="21">
          <cell r="C21">
            <v>962000</v>
          </cell>
        </row>
        <row r="29">
          <cell r="E29">
            <v>0</v>
          </cell>
        </row>
      </sheetData>
      <sheetData sheetId="3">
        <row r="20">
          <cell r="E20">
            <v>507352.66000000003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 Budget A"/>
      <sheetName val="Elect Budget E"/>
      <sheetName val="Water Budget F"/>
      <sheetName val="Sewer Budget G"/>
      <sheetName val="Refuse Budget R"/>
      <sheetName val="FIRE DEPT BUDGET"/>
      <sheetName val="FIRE DEPT"/>
    </sheetNames>
    <sheetDataSet>
      <sheetData sheetId="0"/>
      <sheetData sheetId="1">
        <row r="103">
          <cell r="C103">
            <v>4000</v>
          </cell>
        </row>
        <row r="114">
          <cell r="B114">
            <v>0</v>
          </cell>
        </row>
        <row r="713">
          <cell r="B713">
            <v>866286.25000000012</v>
          </cell>
        </row>
        <row r="714">
          <cell r="B714">
            <v>2413212.75</v>
          </cell>
        </row>
        <row r="715">
          <cell r="B715">
            <v>145000</v>
          </cell>
        </row>
      </sheetData>
      <sheetData sheetId="2">
        <row r="21">
          <cell r="B21">
            <v>1063000</v>
          </cell>
        </row>
        <row r="24">
          <cell r="B24">
            <v>40000</v>
          </cell>
        </row>
        <row r="29">
          <cell r="B29">
            <v>2000</v>
          </cell>
        </row>
        <row r="59">
          <cell r="B59">
            <v>0</v>
          </cell>
        </row>
        <row r="382">
          <cell r="B382">
            <v>141196.95000000001</v>
          </cell>
        </row>
        <row r="391">
          <cell r="B391">
            <v>34125</v>
          </cell>
        </row>
        <row r="407">
          <cell r="B407">
            <v>1203500</v>
          </cell>
        </row>
        <row r="443">
          <cell r="B443">
            <v>451864.05000000005</v>
          </cell>
        </row>
      </sheetData>
      <sheetData sheetId="3">
        <row r="20">
          <cell r="B20">
            <v>1149820</v>
          </cell>
        </row>
        <row r="25">
          <cell r="B25">
            <v>270000</v>
          </cell>
        </row>
        <row r="28">
          <cell r="B28">
            <v>41500</v>
          </cell>
        </row>
        <row r="39">
          <cell r="B39">
            <v>108400</v>
          </cell>
        </row>
        <row r="326">
          <cell r="B326">
            <v>144200.13</v>
          </cell>
        </row>
        <row r="341">
          <cell r="B341">
            <v>1569720</v>
          </cell>
        </row>
        <row r="406">
          <cell r="B406">
            <v>438846.87</v>
          </cell>
        </row>
      </sheetData>
      <sheetData sheetId="4">
        <row r="14">
          <cell r="B14">
            <v>421800</v>
          </cell>
        </row>
        <row r="17">
          <cell r="B17">
            <v>1500</v>
          </cell>
        </row>
        <row r="113">
          <cell r="B113">
            <v>30380.91</v>
          </cell>
        </row>
        <row r="124">
          <cell r="B124">
            <v>423299.99999999994</v>
          </cell>
        </row>
        <row r="144">
          <cell r="B144">
            <v>82432.67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08DD-B9D9-4BAF-9F42-A4F55426FDA8}">
  <sheetPr>
    <pageSetUpPr fitToPage="1"/>
  </sheetPr>
  <dimension ref="A1:I52"/>
  <sheetViews>
    <sheetView tabSelected="1" workbookViewId="0">
      <selection activeCell="J9" sqref="J9"/>
    </sheetView>
  </sheetViews>
  <sheetFormatPr defaultRowHeight="14.5" x14ac:dyDescent="0.35"/>
  <cols>
    <col min="1" max="1" width="43.54296875" customWidth="1"/>
    <col min="2" max="2" width="16.7265625" customWidth="1"/>
    <col min="3" max="3" width="16.1796875" customWidth="1"/>
    <col min="4" max="4" width="11.453125" hidden="1" customWidth="1"/>
    <col min="5" max="5" width="6.54296875" hidden="1" customWidth="1"/>
    <col min="6" max="6" width="15.54296875" hidden="1" customWidth="1"/>
    <col min="7" max="7" width="16.453125" hidden="1" customWidth="1"/>
    <col min="8" max="8" width="0" hidden="1" customWidth="1"/>
    <col min="9" max="9" width="17" customWidth="1"/>
  </cols>
  <sheetData>
    <row r="1" spans="1:9" x14ac:dyDescent="0.35">
      <c r="A1" s="1" t="s">
        <v>0</v>
      </c>
    </row>
    <row r="2" spans="1:9" x14ac:dyDescent="0.35">
      <c r="A2" s="1" t="s">
        <v>1</v>
      </c>
    </row>
    <row r="3" spans="1:9" x14ac:dyDescent="0.35">
      <c r="A3" s="1" t="s">
        <v>37</v>
      </c>
    </row>
    <row r="4" spans="1:9" x14ac:dyDescent="0.35">
      <c r="B4" s="37" t="s">
        <v>68</v>
      </c>
      <c r="C4" s="67" t="s">
        <v>82</v>
      </c>
      <c r="D4" s="2" t="s">
        <v>36</v>
      </c>
      <c r="E4" s="2"/>
      <c r="F4" s="37" t="s">
        <v>26</v>
      </c>
      <c r="G4" s="2">
        <v>45565</v>
      </c>
      <c r="I4" s="74" t="s">
        <v>83</v>
      </c>
    </row>
    <row r="5" spans="1:9" x14ac:dyDescent="0.35">
      <c r="A5" s="1" t="s">
        <v>2</v>
      </c>
      <c r="B5" s="38" t="s">
        <v>27</v>
      </c>
      <c r="C5" s="68" t="s">
        <v>27</v>
      </c>
      <c r="D5" s="3"/>
      <c r="E5" s="3"/>
      <c r="F5" s="44" t="s">
        <v>27</v>
      </c>
      <c r="G5" s="4" t="s">
        <v>28</v>
      </c>
      <c r="I5" s="77" t="s">
        <v>84</v>
      </c>
    </row>
    <row r="6" spans="1:9" x14ac:dyDescent="0.35">
      <c r="A6" t="s">
        <v>3</v>
      </c>
      <c r="B6" s="39">
        <v>2417459</v>
      </c>
      <c r="C6" s="69">
        <v>2463390</v>
      </c>
      <c r="D6" s="9">
        <f>C6/B6</f>
        <v>1.0189997017529564</v>
      </c>
      <c r="E6" s="9">
        <f>C6/B6</f>
        <v>1.0189997017529564</v>
      </c>
      <c r="F6" s="39">
        <v>2372874.5699999998</v>
      </c>
      <c r="G6" s="5">
        <v>2208823</v>
      </c>
      <c r="H6" s="9">
        <f>G6/F6</f>
        <v>0.93086378349952148</v>
      </c>
      <c r="I6" s="76">
        <f>(C6-B6)/B6</f>
        <v>1.8999701752956306E-2</v>
      </c>
    </row>
    <row r="7" spans="1:9" x14ac:dyDescent="0.35">
      <c r="A7" t="s">
        <v>4</v>
      </c>
      <c r="B7" s="39">
        <v>78349</v>
      </c>
      <c r="C7" s="69">
        <v>78619</v>
      </c>
      <c r="D7" s="9">
        <f t="shared" ref="D7:D43" si="0">C7/B7</f>
        <v>1.003446119286781</v>
      </c>
      <c r="E7" s="9">
        <f t="shared" ref="E7:E16" si="1">C7/B7</f>
        <v>1.003446119286781</v>
      </c>
      <c r="F7" s="39">
        <v>67932.39</v>
      </c>
      <c r="G7" s="5">
        <v>0</v>
      </c>
      <c r="H7" s="9">
        <f t="shared" ref="H7:H18" si="2">G7/F7</f>
        <v>0</v>
      </c>
      <c r="I7" s="75">
        <f t="shared" ref="I7:I43" si="3">(C7-B7)/B7</f>
        <v>3.4461192867809415E-3</v>
      </c>
    </row>
    <row r="8" spans="1:9" x14ac:dyDescent="0.35">
      <c r="A8" t="s">
        <v>5</v>
      </c>
      <c r="B8" s="39">
        <v>87000</v>
      </c>
      <c r="C8" s="69">
        <v>80000</v>
      </c>
      <c r="D8" s="9">
        <f t="shared" si="0"/>
        <v>0.91954022988505746</v>
      </c>
      <c r="E8" s="9">
        <f t="shared" si="1"/>
        <v>0.91954022988505746</v>
      </c>
      <c r="F8" s="39">
        <v>92500</v>
      </c>
      <c r="G8" s="5">
        <f>6067+14431</f>
        <v>20498</v>
      </c>
      <c r="H8" s="9">
        <f t="shared" si="2"/>
        <v>0.22159999999999999</v>
      </c>
      <c r="I8" s="75">
        <f t="shared" si="3"/>
        <v>-8.0459770114942528E-2</v>
      </c>
    </row>
    <row r="9" spans="1:9" x14ac:dyDescent="0.35">
      <c r="A9" t="s">
        <v>6</v>
      </c>
      <c r="B9" s="39">
        <v>232750</v>
      </c>
      <c r="C9" s="69">
        <v>236400</v>
      </c>
      <c r="D9" s="9">
        <f t="shared" si="0"/>
        <v>1.0156820622986036</v>
      </c>
      <c r="E9" s="9">
        <f t="shared" si="1"/>
        <v>1.0156820622986036</v>
      </c>
      <c r="F9" s="39">
        <v>209200</v>
      </c>
      <c r="G9" s="5">
        <f>660+32076+3565+3877+4460+14043+1230</f>
        <v>59911</v>
      </c>
      <c r="H9" s="9">
        <f t="shared" si="2"/>
        <v>0.28638145315487573</v>
      </c>
      <c r="I9" s="75">
        <f t="shared" si="3"/>
        <v>1.5682062298603652E-2</v>
      </c>
    </row>
    <row r="10" spans="1:9" x14ac:dyDescent="0.35">
      <c r="A10" t="s">
        <v>7</v>
      </c>
      <c r="B10" s="39">
        <v>427940</v>
      </c>
      <c r="C10" s="69">
        <v>431175</v>
      </c>
      <c r="D10" s="9">
        <f t="shared" si="0"/>
        <v>1.007559470953872</v>
      </c>
      <c r="E10" s="9">
        <f t="shared" si="1"/>
        <v>1.007559470953872</v>
      </c>
      <c r="F10" s="39">
        <v>455731</v>
      </c>
      <c r="G10" s="5">
        <f>40684</f>
        <v>40684</v>
      </c>
      <c r="H10" s="9">
        <f t="shared" si="2"/>
        <v>8.9271960871654552E-2</v>
      </c>
      <c r="I10" s="75">
        <f t="shared" si="3"/>
        <v>7.5594709538720382E-3</v>
      </c>
    </row>
    <row r="11" spans="1:9" x14ac:dyDescent="0.35">
      <c r="A11" t="s">
        <v>8</v>
      </c>
      <c r="B11" s="39">
        <v>133000</v>
      </c>
      <c r="C11" s="69">
        <v>110000</v>
      </c>
      <c r="D11" s="9">
        <f t="shared" si="0"/>
        <v>0.82706766917293228</v>
      </c>
      <c r="E11" s="9">
        <f t="shared" si="1"/>
        <v>0.82706766917293228</v>
      </c>
      <c r="F11" s="39">
        <v>140000</v>
      </c>
      <c r="G11" s="5">
        <f>59439</f>
        <v>59439</v>
      </c>
      <c r="H11" s="9">
        <f t="shared" si="2"/>
        <v>0.42456428571428573</v>
      </c>
      <c r="I11" s="75">
        <f t="shared" si="3"/>
        <v>-0.17293233082706766</v>
      </c>
    </row>
    <row r="12" spans="1:9" x14ac:dyDescent="0.35">
      <c r="A12" t="s">
        <v>9</v>
      </c>
      <c r="B12" s="39">
        <v>5950</v>
      </c>
      <c r="C12" s="69">
        <v>500</v>
      </c>
      <c r="D12" s="9">
        <f t="shared" si="0"/>
        <v>8.4033613445378158E-2</v>
      </c>
      <c r="E12" s="9">
        <f t="shared" si="1"/>
        <v>8.4033613445378158E-2</v>
      </c>
      <c r="F12" s="39">
        <v>4925</v>
      </c>
      <c r="G12" s="5">
        <f>100+156+2539</f>
        <v>2795</v>
      </c>
      <c r="H12" s="9">
        <f t="shared" si="2"/>
        <v>0.56751269035532992</v>
      </c>
      <c r="I12" s="75">
        <f t="shared" si="3"/>
        <v>-0.91596638655462181</v>
      </c>
    </row>
    <row r="13" spans="1:9" x14ac:dyDescent="0.35">
      <c r="A13" t="s">
        <v>10</v>
      </c>
      <c r="B13" s="39">
        <v>25000</v>
      </c>
      <c r="C13" s="69">
        <v>28000</v>
      </c>
      <c r="D13" s="9">
        <f t="shared" si="0"/>
        <v>1.1200000000000001</v>
      </c>
      <c r="E13" s="9">
        <f t="shared" si="1"/>
        <v>1.1200000000000001</v>
      </c>
      <c r="F13" s="39">
        <v>20000</v>
      </c>
      <c r="G13" s="5">
        <v>2578</v>
      </c>
      <c r="H13" s="9">
        <f t="shared" si="2"/>
        <v>0.12889999999999999</v>
      </c>
      <c r="I13" s="75">
        <f t="shared" si="3"/>
        <v>0.12</v>
      </c>
    </row>
    <row r="14" spans="1:9" x14ac:dyDescent="0.35">
      <c r="A14" t="s">
        <v>11</v>
      </c>
      <c r="B14" s="39">
        <v>23300</v>
      </c>
      <c r="C14" s="69">
        <v>32000</v>
      </c>
      <c r="D14" s="9">
        <f t="shared" si="0"/>
        <v>1.3733905579399142</v>
      </c>
      <c r="E14" s="9">
        <f t="shared" si="1"/>
        <v>1.3733905579399142</v>
      </c>
      <c r="F14" s="39">
        <v>13000</v>
      </c>
      <c r="G14" s="5">
        <f>3170</f>
        <v>3170</v>
      </c>
      <c r="H14" s="9">
        <f t="shared" si="2"/>
        <v>0.24384615384615385</v>
      </c>
      <c r="I14" s="75">
        <f t="shared" si="3"/>
        <v>0.37339055793991416</v>
      </c>
    </row>
    <row r="15" spans="1:9" x14ac:dyDescent="0.35">
      <c r="A15" t="s">
        <v>12</v>
      </c>
      <c r="B15" s="39">
        <v>25000</v>
      </c>
      <c r="C15" s="69">
        <v>25000</v>
      </c>
      <c r="D15" s="9">
        <f t="shared" si="0"/>
        <v>1</v>
      </c>
      <c r="E15" s="9">
        <f t="shared" si="1"/>
        <v>1</v>
      </c>
      <c r="F15" s="39">
        <v>25000</v>
      </c>
      <c r="G15" s="5">
        <v>5583</v>
      </c>
      <c r="H15" s="9">
        <f t="shared" si="2"/>
        <v>0.22331999999999999</v>
      </c>
      <c r="I15" s="75">
        <f t="shared" si="3"/>
        <v>0</v>
      </c>
    </row>
    <row r="16" spans="1:9" x14ac:dyDescent="0.35">
      <c r="A16" t="s">
        <v>13</v>
      </c>
      <c r="B16" s="39">
        <f>130627+3400+30000+307799+15000</f>
        <v>486826</v>
      </c>
      <c r="C16" s="69">
        <v>495964</v>
      </c>
      <c r="D16" s="9">
        <f t="shared" si="0"/>
        <v>1.0187705668965914</v>
      </c>
      <c r="E16" s="9">
        <f t="shared" si="1"/>
        <v>1.0187705668965914</v>
      </c>
      <c r="F16" s="39">
        <f>130627+324499.16</f>
        <v>455126.16</v>
      </c>
      <c r="G16" s="5">
        <f>130627+9138+13393</f>
        <v>153158</v>
      </c>
      <c r="H16" s="9">
        <f t="shared" si="2"/>
        <v>0.33651768116339437</v>
      </c>
      <c r="I16" s="75">
        <f t="shared" si="3"/>
        <v>1.877056689659139E-2</v>
      </c>
    </row>
    <row r="17" spans="1:9" ht="16" x14ac:dyDescent="0.5">
      <c r="A17" t="s">
        <v>14</v>
      </c>
      <c r="B17" s="40">
        <v>0</v>
      </c>
      <c r="C17" s="70">
        <v>0</v>
      </c>
      <c r="D17" s="9"/>
      <c r="E17" s="5"/>
      <c r="F17" s="40">
        <v>0</v>
      </c>
      <c r="G17" s="7">
        <v>0</v>
      </c>
      <c r="H17" s="9"/>
      <c r="I17" s="75"/>
    </row>
    <row r="18" spans="1:9" x14ac:dyDescent="0.35">
      <c r="A18" t="s">
        <v>15</v>
      </c>
      <c r="B18" s="41">
        <f t="shared" ref="B18:C18" si="4">SUM(B6:B17)</f>
        <v>3942574</v>
      </c>
      <c r="C18" s="71">
        <f t="shared" si="4"/>
        <v>3981048</v>
      </c>
      <c r="D18" s="32">
        <f t="shared" si="0"/>
        <v>1.0097585993312999</v>
      </c>
      <c r="E18" s="9">
        <f>C18/B18</f>
        <v>1.0097585993312999</v>
      </c>
      <c r="F18" s="41">
        <f>SUM(F6:F17)</f>
        <v>3856289.12</v>
      </c>
      <c r="G18" s="31">
        <f>SUM(G6:G17)</f>
        <v>2556639</v>
      </c>
      <c r="H18" s="9">
        <f t="shared" si="2"/>
        <v>0.66297907663105926</v>
      </c>
      <c r="I18" s="75">
        <f t="shared" si="3"/>
        <v>9.758599331299805E-3</v>
      </c>
    </row>
    <row r="19" spans="1:9" x14ac:dyDescent="0.35">
      <c r="A19" t="s">
        <v>72</v>
      </c>
      <c r="B19" s="39">
        <f>2400+57000+158000+10000</f>
        <v>227400</v>
      </c>
      <c r="C19" s="69">
        <v>241000</v>
      </c>
      <c r="D19" s="9"/>
      <c r="E19" s="5"/>
      <c r="F19" s="39">
        <f>70000+57000+107000</f>
        <v>234000</v>
      </c>
      <c r="G19" s="5"/>
      <c r="I19" s="75">
        <f t="shared" si="3"/>
        <v>5.9806508355321017E-2</v>
      </c>
    </row>
    <row r="20" spans="1:9" ht="16" x14ac:dyDescent="0.5">
      <c r="A20" t="s">
        <v>73</v>
      </c>
      <c r="B20" s="40">
        <v>50000</v>
      </c>
      <c r="C20" s="70">
        <v>148227</v>
      </c>
      <c r="D20" s="30"/>
      <c r="E20" s="7"/>
      <c r="F20" s="40">
        <f>468500-234000</f>
        <v>234500</v>
      </c>
      <c r="G20" s="7"/>
      <c r="I20" s="75">
        <f t="shared" si="3"/>
        <v>1.96454</v>
      </c>
    </row>
    <row r="21" spans="1:9" x14ac:dyDescent="0.35">
      <c r="A21" t="s">
        <v>74</v>
      </c>
      <c r="B21" s="41">
        <f>B18+B19+B20</f>
        <v>4219974</v>
      </c>
      <c r="C21" s="71">
        <f t="shared" ref="C21:G21" si="5">C18+C19+C20</f>
        <v>4370275</v>
      </c>
      <c r="D21" s="31">
        <f t="shared" si="5"/>
        <v>1.0097585993312999</v>
      </c>
      <c r="E21" s="31"/>
      <c r="F21" s="41">
        <f t="shared" si="5"/>
        <v>4324789.12</v>
      </c>
      <c r="G21" s="31">
        <f t="shared" si="5"/>
        <v>2556639</v>
      </c>
      <c r="I21" s="75">
        <f t="shared" si="3"/>
        <v>3.5616570149484335E-2</v>
      </c>
    </row>
    <row r="22" spans="1:9" x14ac:dyDescent="0.35">
      <c r="B22" s="39"/>
      <c r="C22" s="69"/>
      <c r="D22" s="9"/>
      <c r="E22" s="5"/>
      <c r="F22" s="39"/>
      <c r="G22" s="5"/>
      <c r="I22" s="75"/>
    </row>
    <row r="23" spans="1:9" x14ac:dyDescent="0.35">
      <c r="A23" s="1" t="s">
        <v>25</v>
      </c>
      <c r="B23" s="39"/>
      <c r="C23" s="69"/>
      <c r="D23" s="9"/>
      <c r="E23" s="5"/>
      <c r="F23" s="39"/>
      <c r="G23" s="5"/>
      <c r="I23" s="75"/>
    </row>
    <row r="24" spans="1:9" x14ac:dyDescent="0.35">
      <c r="A24" t="s">
        <v>69</v>
      </c>
      <c r="B24" s="42">
        <f>6200+4550+73360+3300+70000+11719+6675</f>
        <v>175804</v>
      </c>
      <c r="C24" s="72">
        <f>7700+4600+73558+3500+95000+8811+6100</f>
        <v>199269</v>
      </c>
      <c r="D24" s="9">
        <f t="shared" si="0"/>
        <v>1.1334725034697732</v>
      </c>
      <c r="E24" s="9">
        <f t="shared" ref="E24:E43" si="6">C24/B24</f>
        <v>1.1334725034697732</v>
      </c>
      <c r="F24" s="42">
        <f>6200+4550+78725.15+3525+60000+114466.67+4900</f>
        <v>272366.82</v>
      </c>
      <c r="G24" s="8">
        <f>1965+1454+25933+3171+1055+2670+1567</f>
        <v>37815</v>
      </c>
      <c r="H24" s="9">
        <f t="shared" ref="H24:H29" si="7">G24/F24</f>
        <v>0.13883849728832609</v>
      </c>
      <c r="I24" s="75">
        <f t="shared" si="3"/>
        <v>0.13347250346977316</v>
      </c>
    </row>
    <row r="25" spans="1:9" x14ac:dyDescent="0.35">
      <c r="A25" t="s">
        <v>34</v>
      </c>
      <c r="B25" s="42">
        <v>40668</v>
      </c>
      <c r="C25" s="72">
        <v>40050</v>
      </c>
      <c r="D25" s="9">
        <f t="shared" si="0"/>
        <v>0.98480377692534671</v>
      </c>
      <c r="E25" s="9">
        <f t="shared" si="6"/>
        <v>0.98480377692534671</v>
      </c>
      <c r="F25" s="42">
        <v>40000</v>
      </c>
      <c r="G25" s="8">
        <v>11316</v>
      </c>
      <c r="H25" s="9">
        <f t="shared" si="7"/>
        <v>0.28289999999999998</v>
      </c>
      <c r="I25" s="75">
        <f t="shared" si="3"/>
        <v>-1.5196223074653291E-2</v>
      </c>
    </row>
    <row r="26" spans="1:9" x14ac:dyDescent="0.35">
      <c r="A26" t="s">
        <v>70</v>
      </c>
      <c r="B26" s="42">
        <f>7000+21970+41815+22614-10000</f>
        <v>83399</v>
      </c>
      <c r="C26" s="72">
        <f>46738+5000+14692</f>
        <v>66430</v>
      </c>
      <c r="D26" s="9">
        <f t="shared" si="0"/>
        <v>0.79653233252197264</v>
      </c>
      <c r="E26" s="9">
        <f t="shared" si="6"/>
        <v>0.79653233252197264</v>
      </c>
      <c r="F26" s="42">
        <f>5000+55723.99+27106.69</f>
        <v>87830.68</v>
      </c>
      <c r="G26" s="8">
        <f>335+21708+7181</f>
        <v>29224</v>
      </c>
      <c r="H26" s="9">
        <f t="shared" si="7"/>
        <v>0.33273111400253308</v>
      </c>
      <c r="I26" s="75">
        <f t="shared" si="3"/>
        <v>-0.2034676674780273</v>
      </c>
    </row>
    <row r="27" spans="1:9" x14ac:dyDescent="0.35">
      <c r="A27" t="s">
        <v>35</v>
      </c>
      <c r="B27" s="42">
        <v>10000</v>
      </c>
      <c r="C27" s="72">
        <v>0</v>
      </c>
      <c r="D27" s="29"/>
      <c r="E27" s="9">
        <f t="shared" si="6"/>
        <v>0</v>
      </c>
      <c r="F27" s="42">
        <v>0</v>
      </c>
      <c r="G27" s="8">
        <f>'[1]Gen Budget A'!$H$308</f>
        <v>0</v>
      </c>
      <c r="H27" s="9">
        <v>0</v>
      </c>
      <c r="I27" s="75">
        <f t="shared" si="3"/>
        <v>-1</v>
      </c>
    </row>
    <row r="28" spans="1:9" ht="16" x14ac:dyDescent="0.5">
      <c r="A28" t="s">
        <v>71</v>
      </c>
      <c r="B28" s="40">
        <f>56000+75000</f>
        <v>131000</v>
      </c>
      <c r="C28" s="70">
        <f>80000+46500</f>
        <v>126500</v>
      </c>
      <c r="D28" s="9"/>
      <c r="E28" s="45">
        <f t="shared" si="6"/>
        <v>0.96564885496183206</v>
      </c>
      <c r="F28" s="40">
        <f>75000+46000</f>
        <v>121000</v>
      </c>
      <c r="G28" s="7">
        <f>72806+200+24374</f>
        <v>97380</v>
      </c>
      <c r="H28" s="45">
        <f t="shared" si="7"/>
        <v>0.80479338842975212</v>
      </c>
      <c r="I28" s="75">
        <f t="shared" si="3"/>
        <v>-3.4351145038167941E-2</v>
      </c>
    </row>
    <row r="29" spans="1:9" x14ac:dyDescent="0.35">
      <c r="A29" t="s">
        <v>16</v>
      </c>
      <c r="B29" s="39">
        <f>SUM(B24:B28)</f>
        <v>440871</v>
      </c>
      <c r="C29" s="69">
        <f>SUM(C24:C28)</f>
        <v>432249</v>
      </c>
      <c r="D29" s="9">
        <f t="shared" si="0"/>
        <v>0.98044325891247097</v>
      </c>
      <c r="E29" s="9">
        <f t="shared" si="6"/>
        <v>0.98044325891247097</v>
      </c>
      <c r="F29" s="39">
        <f>SUM(F24:F28)</f>
        <v>521197.5</v>
      </c>
      <c r="G29" s="5">
        <f>SUM(G24:G28)</f>
        <v>175735</v>
      </c>
      <c r="H29" s="9">
        <f t="shared" si="7"/>
        <v>0.33717544692750828</v>
      </c>
      <c r="I29" s="75">
        <f t="shared" si="3"/>
        <v>-1.9556741087529004E-2</v>
      </c>
    </row>
    <row r="30" spans="1:9" x14ac:dyDescent="0.35">
      <c r="B30" s="43"/>
      <c r="C30" s="73"/>
      <c r="D30" s="33"/>
      <c r="F30" s="43"/>
      <c r="I30" s="75"/>
    </row>
    <row r="31" spans="1:9" x14ac:dyDescent="0.35">
      <c r="A31" t="s">
        <v>33</v>
      </c>
      <c r="B31" s="39">
        <f>1256662+16475+10300+1821+5600</f>
        <v>1290858</v>
      </c>
      <c r="C31" s="69">
        <f>1340329+44561+10300+3009</f>
        <v>1398199</v>
      </c>
      <c r="D31" s="33">
        <f t="shared" si="0"/>
        <v>1.0831547699282182</v>
      </c>
      <c r="E31" s="9">
        <f t="shared" si="6"/>
        <v>1.0831547699282182</v>
      </c>
      <c r="F31" s="39">
        <f>91416.67+1077473.14+57000+80060+10300+3640</f>
        <v>1319889.8099999998</v>
      </c>
      <c r="G31" s="5">
        <f>395662+6732+116+6187+1796</f>
        <v>410493</v>
      </c>
      <c r="H31" s="9">
        <f t="shared" ref="H31:H35" si="8">G31/F31</f>
        <v>0.31100550734610188</v>
      </c>
      <c r="I31" s="75">
        <f t="shared" si="3"/>
        <v>8.3154769928218283E-2</v>
      </c>
    </row>
    <row r="32" spans="1:9" x14ac:dyDescent="0.35">
      <c r="A32" t="s">
        <v>30</v>
      </c>
      <c r="B32" s="39">
        <f>301300+8700</f>
        <v>310000</v>
      </c>
      <c r="C32" s="69">
        <f>263350+7700+59000-2</f>
        <v>330048</v>
      </c>
      <c r="D32" s="33">
        <f t="shared" si="0"/>
        <v>1.0646709677419355</v>
      </c>
      <c r="E32" s="9">
        <f t="shared" si="6"/>
        <v>1.0646709677419355</v>
      </c>
      <c r="F32" s="39">
        <f>323390+9800</f>
        <v>333190</v>
      </c>
      <c r="G32" s="5">
        <f>193779+1359</f>
        <v>195138</v>
      </c>
      <c r="H32" s="9">
        <f t="shared" si="8"/>
        <v>0.58566583630961311</v>
      </c>
      <c r="I32" s="75">
        <f t="shared" si="3"/>
        <v>6.4670967741935481E-2</v>
      </c>
    </row>
    <row r="33" spans="1:9" x14ac:dyDescent="0.35">
      <c r="A33" t="s">
        <v>31</v>
      </c>
      <c r="B33" s="39">
        <v>62959</v>
      </c>
      <c r="C33" s="69">
        <v>43225</v>
      </c>
      <c r="D33" s="33">
        <f t="shared" si="0"/>
        <v>0.68655791864546767</v>
      </c>
      <c r="E33" s="9">
        <f t="shared" si="6"/>
        <v>0.68655791864546767</v>
      </c>
      <c r="F33" s="39">
        <v>48075</v>
      </c>
      <c r="G33" s="5">
        <f>14207</f>
        <v>14207</v>
      </c>
      <c r="H33" s="9">
        <f t="shared" si="8"/>
        <v>0.29551742069682785</v>
      </c>
      <c r="I33" s="75">
        <f t="shared" si="3"/>
        <v>-0.31344208135453233</v>
      </c>
    </row>
    <row r="34" spans="1:9" ht="16" x14ac:dyDescent="0.5">
      <c r="A34" t="s">
        <v>32</v>
      </c>
      <c r="B34" s="40">
        <v>45500</v>
      </c>
      <c r="C34" s="70">
        <v>45500</v>
      </c>
      <c r="D34" s="33">
        <f t="shared" si="0"/>
        <v>1</v>
      </c>
      <c r="E34" s="45">
        <f t="shared" si="6"/>
        <v>1</v>
      </c>
      <c r="F34" s="40">
        <f>'[1]Gen Budget A'!$D$778</f>
        <v>45500</v>
      </c>
      <c r="G34" s="7">
        <v>0</v>
      </c>
      <c r="H34" s="9">
        <f t="shared" si="8"/>
        <v>0</v>
      </c>
      <c r="I34" s="75">
        <f t="shared" si="3"/>
        <v>0</v>
      </c>
    </row>
    <row r="35" spans="1:9" x14ac:dyDescent="0.35">
      <c r="A35" t="s">
        <v>17</v>
      </c>
      <c r="B35" s="39">
        <f>SUM(B31:B34)</f>
        <v>1709317</v>
      </c>
      <c r="C35" s="69">
        <f>SUM(C31:C34)</f>
        <v>1816972</v>
      </c>
      <c r="D35" s="33">
        <f t="shared" si="0"/>
        <v>1.0629812960381251</v>
      </c>
      <c r="E35" s="9">
        <f t="shared" si="6"/>
        <v>1.0629812960381251</v>
      </c>
      <c r="F35" s="39">
        <f>SUM(F31:F34)</f>
        <v>1746654.8099999998</v>
      </c>
      <c r="G35" s="5">
        <f>SUM(G31:G34)</f>
        <v>619838</v>
      </c>
      <c r="H35" s="9">
        <f t="shared" si="8"/>
        <v>0.35487149289675618</v>
      </c>
      <c r="I35" s="75">
        <f t="shared" si="3"/>
        <v>6.2981296038125176E-2</v>
      </c>
    </row>
    <row r="36" spans="1:9" x14ac:dyDescent="0.35">
      <c r="B36" s="39"/>
      <c r="C36" s="69"/>
      <c r="D36" s="33"/>
      <c r="E36" s="34"/>
      <c r="F36" s="39"/>
      <c r="G36" s="5"/>
      <c r="I36" s="75"/>
    </row>
    <row r="37" spans="1:9" x14ac:dyDescent="0.35">
      <c r="A37" t="s">
        <v>18</v>
      </c>
      <c r="B37" s="39">
        <v>500</v>
      </c>
      <c r="C37" s="69">
        <v>500</v>
      </c>
      <c r="D37" s="33">
        <f t="shared" si="0"/>
        <v>1</v>
      </c>
      <c r="E37" s="9">
        <f t="shared" si="6"/>
        <v>1</v>
      </c>
      <c r="F37" s="39">
        <v>450</v>
      </c>
      <c r="G37" s="5">
        <v>466</v>
      </c>
      <c r="H37" s="9">
        <f t="shared" ref="H37:H43" si="9">G37/F37</f>
        <v>1.0355555555555556</v>
      </c>
      <c r="I37" s="75">
        <f t="shared" si="3"/>
        <v>0</v>
      </c>
    </row>
    <row r="38" spans="1:9" x14ac:dyDescent="0.35">
      <c r="A38" t="s">
        <v>19</v>
      </c>
      <c r="B38" s="39">
        <v>1167205</v>
      </c>
      <c r="C38" s="69">
        <v>1201251</v>
      </c>
      <c r="D38" s="33">
        <f t="shared" si="0"/>
        <v>1.029168826384397</v>
      </c>
      <c r="E38" s="9">
        <f t="shared" si="6"/>
        <v>1.029168826384397</v>
      </c>
      <c r="F38" s="39">
        <f>1192332.99</f>
        <v>1192332.99</v>
      </c>
      <c r="G38" s="5">
        <f>3404+171532+55077+239773+5098+26946</f>
        <v>501830</v>
      </c>
      <c r="H38" s="9">
        <f t="shared" si="9"/>
        <v>0.42088074741603854</v>
      </c>
      <c r="I38" s="75">
        <f t="shared" si="3"/>
        <v>2.9168826384396915E-2</v>
      </c>
    </row>
    <row r="39" spans="1:9" x14ac:dyDescent="0.35">
      <c r="A39" t="s">
        <v>20</v>
      </c>
      <c r="B39" s="39">
        <v>261453</v>
      </c>
      <c r="C39" s="69">
        <v>230707</v>
      </c>
      <c r="D39" s="33">
        <f t="shared" si="0"/>
        <v>0.88240333826729855</v>
      </c>
      <c r="E39" s="9">
        <f t="shared" si="6"/>
        <v>0.88240333826729855</v>
      </c>
      <c r="F39" s="39">
        <v>235773.62</v>
      </c>
      <c r="G39" s="5">
        <f>4477+17284+715</f>
        <v>22476</v>
      </c>
      <c r="H39" s="9">
        <f t="shared" si="9"/>
        <v>9.5328731009007711E-2</v>
      </c>
      <c r="I39" s="75">
        <f t="shared" si="3"/>
        <v>-0.11759666173270147</v>
      </c>
    </row>
    <row r="40" spans="1:9" x14ac:dyDescent="0.35">
      <c r="A40" t="s">
        <v>21</v>
      </c>
      <c r="B40" s="39">
        <v>634672</v>
      </c>
      <c r="C40" s="69">
        <v>682796</v>
      </c>
      <c r="D40" s="33">
        <f t="shared" si="0"/>
        <v>1.0758249930672852</v>
      </c>
      <c r="E40" s="9">
        <f t="shared" si="6"/>
        <v>1.0758249930672852</v>
      </c>
      <c r="F40" s="39">
        <v>617111.43999999994</v>
      </c>
      <c r="G40" s="5">
        <f>516+35681+201+45904</f>
        <v>82302</v>
      </c>
      <c r="H40" s="9">
        <f t="shared" si="9"/>
        <v>0.13336651156556101</v>
      </c>
      <c r="I40" s="75">
        <f t="shared" si="3"/>
        <v>7.5824993067285143E-2</v>
      </c>
    </row>
    <row r="41" spans="1:9" x14ac:dyDescent="0.35">
      <c r="A41" t="s">
        <v>22</v>
      </c>
      <c r="B41" s="39">
        <v>5000</v>
      </c>
      <c r="C41" s="69">
        <v>5000</v>
      </c>
      <c r="D41" s="33">
        <f t="shared" si="0"/>
        <v>1</v>
      </c>
      <c r="E41" s="9">
        <f t="shared" si="6"/>
        <v>1</v>
      </c>
      <c r="F41" s="39">
        <v>10000</v>
      </c>
      <c r="G41" s="5">
        <v>0</v>
      </c>
      <c r="H41" s="9">
        <f t="shared" si="9"/>
        <v>0</v>
      </c>
      <c r="I41" s="75">
        <f t="shared" si="3"/>
        <v>0</v>
      </c>
    </row>
    <row r="42" spans="1:9" ht="16" x14ac:dyDescent="0.5">
      <c r="A42" t="s">
        <v>23</v>
      </c>
      <c r="B42" s="40">
        <v>956</v>
      </c>
      <c r="C42" s="70">
        <v>800</v>
      </c>
      <c r="D42" s="33">
        <f t="shared" si="0"/>
        <v>0.83682008368200833</v>
      </c>
      <c r="E42" s="45">
        <f t="shared" si="6"/>
        <v>0.83682008368200833</v>
      </c>
      <c r="F42" s="40">
        <v>1268.75</v>
      </c>
      <c r="G42" s="7">
        <v>634</v>
      </c>
      <c r="H42" s="45">
        <f t="shared" si="9"/>
        <v>0.49970443349753696</v>
      </c>
      <c r="I42" s="75">
        <f t="shared" si="3"/>
        <v>-0.16317991631799164</v>
      </c>
    </row>
    <row r="43" spans="1:9" x14ac:dyDescent="0.35">
      <c r="A43" t="s">
        <v>24</v>
      </c>
      <c r="B43" s="41">
        <f>B29+B35+B37+B39+B38+B40+B41+B42</f>
        <v>4219974</v>
      </c>
      <c r="C43" s="71">
        <f>C29+C35+C37+C39+C38+C40+C41+C42</f>
        <v>4370275</v>
      </c>
      <c r="D43" s="36">
        <f t="shared" si="0"/>
        <v>1.0356165701494844</v>
      </c>
      <c r="E43" s="9">
        <f t="shared" si="6"/>
        <v>1.0356165701494844</v>
      </c>
      <c r="F43" s="41">
        <f t="shared" ref="F43:G43" si="10">F29+F35+F37+F39+F38+F40+F41+F42</f>
        <v>4324789.1099999994</v>
      </c>
      <c r="G43" s="31">
        <f t="shared" si="10"/>
        <v>1403281</v>
      </c>
      <c r="H43" s="9">
        <f t="shared" si="9"/>
        <v>0.3244738562523804</v>
      </c>
      <c r="I43" s="75">
        <f t="shared" si="3"/>
        <v>3.5616570149484335E-2</v>
      </c>
    </row>
    <row r="44" spans="1:9" x14ac:dyDescent="0.35">
      <c r="B44" s="39"/>
      <c r="C44" s="69"/>
      <c r="D44" s="34"/>
      <c r="E44" s="34"/>
      <c r="F44" s="39"/>
      <c r="G44" s="5"/>
    </row>
    <row r="45" spans="1:9" x14ac:dyDescent="0.35">
      <c r="A45" t="s">
        <v>29</v>
      </c>
      <c r="B45" s="41">
        <f>B21-B43</f>
        <v>0</v>
      </c>
      <c r="C45" s="71">
        <f>C21-C43</f>
        <v>0</v>
      </c>
      <c r="D45" s="35"/>
      <c r="E45" s="35"/>
      <c r="F45" s="41">
        <f>F21-F43</f>
        <v>1.0000000707805157E-2</v>
      </c>
      <c r="G45" s="31">
        <f>G21-G43</f>
        <v>1153358</v>
      </c>
    </row>
    <row r="46" spans="1:9" x14ac:dyDescent="0.35">
      <c r="B46" s="34"/>
      <c r="C46" s="34"/>
      <c r="D46" s="34"/>
      <c r="E46" s="34"/>
      <c r="F46" s="34"/>
      <c r="G46" s="5"/>
    </row>
    <row r="47" spans="1:9" x14ac:dyDescent="0.35">
      <c r="B47" s="34"/>
      <c r="C47" s="34"/>
      <c r="D47" s="34"/>
      <c r="E47" s="34"/>
      <c r="F47" s="34"/>
      <c r="G47" s="5"/>
    </row>
    <row r="48" spans="1:9" x14ac:dyDescent="0.35">
      <c r="B48" s="6"/>
      <c r="C48" s="6"/>
      <c r="D48" s="6"/>
      <c r="E48" s="6"/>
      <c r="F48" s="6"/>
      <c r="G48" s="6"/>
    </row>
    <row r="49" spans="2:7" x14ac:dyDescent="0.35">
      <c r="B49" s="6"/>
      <c r="C49" s="6"/>
      <c r="D49" s="6"/>
      <c r="E49" s="6"/>
      <c r="F49" s="6"/>
      <c r="G49" s="6"/>
    </row>
    <row r="50" spans="2:7" x14ac:dyDescent="0.35">
      <c r="B50" s="6"/>
      <c r="C50" s="6"/>
      <c r="D50" s="6"/>
      <c r="E50" s="6"/>
      <c r="F50" s="6"/>
      <c r="G50" s="6"/>
    </row>
    <row r="51" spans="2:7" x14ac:dyDescent="0.35">
      <c r="B51" s="6"/>
      <c r="C51" s="6"/>
      <c r="D51" s="6"/>
      <c r="E51" s="6"/>
      <c r="F51" s="6"/>
      <c r="G51" s="6"/>
    </row>
    <row r="52" spans="2:7" x14ac:dyDescent="0.35">
      <c r="B52" s="6"/>
      <c r="C52" s="6"/>
      <c r="D52" s="6"/>
      <c r="E52" s="6"/>
      <c r="F52" s="6"/>
      <c r="G52" s="6"/>
    </row>
  </sheetData>
  <pageMargins left="0.7" right="0.7" top="0.75" bottom="0.75" header="0.3" footer="0.3"/>
  <pageSetup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9D5F-23F4-473B-B73F-7985826F286F}">
  <sheetPr>
    <pageSetUpPr fitToPage="1"/>
  </sheetPr>
  <dimension ref="A1:I129"/>
  <sheetViews>
    <sheetView workbookViewId="0">
      <selection activeCell="B77" sqref="B77"/>
    </sheetView>
  </sheetViews>
  <sheetFormatPr defaultRowHeight="14.5" x14ac:dyDescent="0.35"/>
  <cols>
    <col min="1" max="1" width="43.54296875" customWidth="1"/>
    <col min="2" max="2" width="16.7265625" customWidth="1"/>
    <col min="3" max="3" width="16.1796875" customWidth="1"/>
    <col min="4" max="4" width="11.453125" hidden="1" customWidth="1"/>
    <col min="5" max="5" width="7.54296875" customWidth="1"/>
    <col min="6" max="6" width="15.54296875" hidden="1" customWidth="1"/>
    <col min="7" max="7" width="16.453125" hidden="1" customWidth="1"/>
    <col min="8" max="8" width="0" hidden="1" customWidth="1"/>
  </cols>
  <sheetData>
    <row r="1" spans="1:9" x14ac:dyDescent="0.35">
      <c r="A1" s="1" t="s">
        <v>81</v>
      </c>
    </row>
    <row r="2" spans="1:9" x14ac:dyDescent="0.35">
      <c r="A2" s="1" t="s">
        <v>1</v>
      </c>
    </row>
    <row r="3" spans="1:9" x14ac:dyDescent="0.35">
      <c r="A3" s="1"/>
    </row>
    <row r="4" spans="1:9" ht="43.5" x14ac:dyDescent="0.35">
      <c r="A4" s="20"/>
      <c r="B4" s="21" t="s">
        <v>68</v>
      </c>
      <c r="C4" s="58" t="s">
        <v>85</v>
      </c>
      <c r="D4" s="22" t="s">
        <v>36</v>
      </c>
      <c r="E4" s="47" t="s">
        <v>80</v>
      </c>
      <c r="F4" s="21"/>
      <c r="G4" s="58"/>
      <c r="H4" s="47"/>
    </row>
    <row r="5" spans="1:9" x14ac:dyDescent="0.35">
      <c r="A5" s="23"/>
      <c r="B5" s="3" t="s">
        <v>27</v>
      </c>
      <c r="C5" s="38" t="s">
        <v>27</v>
      </c>
      <c r="D5" s="3"/>
      <c r="E5" s="51"/>
      <c r="F5" s="4"/>
      <c r="G5" s="44"/>
      <c r="H5" s="48"/>
    </row>
    <row r="6" spans="1:9" x14ac:dyDescent="0.35">
      <c r="A6" s="23" t="s">
        <v>47</v>
      </c>
      <c r="B6" s="17"/>
      <c r="C6" s="59"/>
      <c r="D6" s="24"/>
      <c r="E6" s="52"/>
      <c r="F6" s="17"/>
      <c r="G6" s="59"/>
      <c r="H6" s="48"/>
    </row>
    <row r="7" spans="1:9" x14ac:dyDescent="0.35">
      <c r="A7" s="16" t="s">
        <v>38</v>
      </c>
      <c r="B7" s="17">
        <v>3372499</v>
      </c>
      <c r="C7" s="59">
        <f>3702650-152500</f>
        <v>3550150</v>
      </c>
      <c r="D7" s="24"/>
      <c r="E7" s="49">
        <f>(C7-B7)/B7</f>
        <v>5.2676368473348695E-2</v>
      </c>
      <c r="F7" s="17"/>
      <c r="G7" s="59"/>
      <c r="H7" s="49"/>
    </row>
    <row r="8" spans="1:9" ht="16" x14ac:dyDescent="0.5">
      <c r="A8" s="16" t="s">
        <v>39</v>
      </c>
      <c r="B8" s="10">
        <f>52000-4000</f>
        <v>48000</v>
      </c>
      <c r="C8" s="60">
        <f>152500-8000</f>
        <v>144500</v>
      </c>
      <c r="D8" s="25"/>
      <c r="E8" s="49">
        <f t="shared" ref="E8:E70" si="0">(C8-B8)/B8</f>
        <v>2.0104166666666665</v>
      </c>
      <c r="F8" s="10"/>
      <c r="G8" s="60"/>
      <c r="H8" s="49"/>
    </row>
    <row r="9" spans="1:9" x14ac:dyDescent="0.35">
      <c r="A9" s="16" t="s">
        <v>54</v>
      </c>
      <c r="B9" s="17">
        <f>B7+B8</f>
        <v>3420499</v>
      </c>
      <c r="C9" s="59">
        <f>C7+C8</f>
        <v>3694650</v>
      </c>
      <c r="D9" s="24"/>
      <c r="E9" s="49">
        <f t="shared" si="0"/>
        <v>8.0149416795619585E-2</v>
      </c>
      <c r="F9" s="17"/>
      <c r="G9" s="59"/>
      <c r="H9" s="49"/>
    </row>
    <row r="10" spans="1:9" x14ac:dyDescent="0.35">
      <c r="A10" s="16"/>
      <c r="B10" s="17"/>
      <c r="C10" s="59"/>
      <c r="D10" s="24"/>
      <c r="E10" s="49"/>
      <c r="F10" s="17"/>
      <c r="G10" s="59"/>
      <c r="H10" s="49"/>
    </row>
    <row r="11" spans="1:9" x14ac:dyDescent="0.35">
      <c r="A11" s="16" t="s">
        <v>44</v>
      </c>
      <c r="B11" s="17">
        <f>'[2]Elect Budget E'!$B$713</f>
        <v>866286.25000000012</v>
      </c>
      <c r="C11" s="59">
        <v>830395.65</v>
      </c>
      <c r="D11" s="24"/>
      <c r="E11" s="49">
        <f t="shared" si="0"/>
        <v>-4.1430416331784195E-2</v>
      </c>
      <c r="F11" s="17"/>
      <c r="G11" s="59"/>
      <c r="H11" s="49"/>
    </row>
    <row r="12" spans="1:9" x14ac:dyDescent="0.35">
      <c r="A12" s="16" t="s">
        <v>41</v>
      </c>
      <c r="B12" s="17">
        <f>'[2]Elect Budget E'!$B$714-B18</f>
        <v>2351822.75</v>
      </c>
      <c r="C12" s="59">
        <f>2732254.35-59459</f>
        <v>2672795.35</v>
      </c>
      <c r="D12" s="24"/>
      <c r="E12" s="49">
        <f t="shared" si="0"/>
        <v>0.13647822736641191</v>
      </c>
      <c r="F12" s="17"/>
      <c r="G12" s="59"/>
      <c r="H12" s="49"/>
    </row>
    <row r="13" spans="1:9" ht="16" x14ac:dyDescent="0.5">
      <c r="A13" s="16" t="s">
        <v>42</v>
      </c>
      <c r="B13" s="10">
        <f>'[2]Elect Budget E'!$B$715</f>
        <v>145000</v>
      </c>
      <c r="C13" s="60">
        <v>140000</v>
      </c>
      <c r="D13" s="25"/>
      <c r="E13" s="49">
        <f t="shared" si="0"/>
        <v>-3.4482758620689655E-2</v>
      </c>
      <c r="F13" s="10"/>
      <c r="G13" s="60"/>
      <c r="H13" s="49"/>
    </row>
    <row r="14" spans="1:9" ht="16" x14ac:dyDescent="0.5">
      <c r="A14" s="16" t="s">
        <v>55</v>
      </c>
      <c r="B14" s="26">
        <f>B11+B12+B13</f>
        <v>3363109</v>
      </c>
      <c r="C14" s="61">
        <f t="shared" ref="C14:G14" si="1">C11+C12+C13</f>
        <v>3643191</v>
      </c>
      <c r="D14" s="26">
        <f t="shared" si="1"/>
        <v>0</v>
      </c>
      <c r="E14" s="49">
        <f t="shared" si="0"/>
        <v>8.328067868154139E-2</v>
      </c>
      <c r="F14" s="26"/>
      <c r="G14" s="61"/>
      <c r="H14" s="49"/>
    </row>
    <row r="15" spans="1:9" ht="16" x14ac:dyDescent="0.5">
      <c r="A15" s="16" t="s">
        <v>56</v>
      </c>
      <c r="B15" s="10">
        <f>B9-B14</f>
        <v>57390</v>
      </c>
      <c r="C15" s="60">
        <f t="shared" ref="C15:G15" si="2">C9-C14</f>
        <v>51459</v>
      </c>
      <c r="D15" s="10">
        <f t="shared" si="2"/>
        <v>0</v>
      </c>
      <c r="E15" s="49">
        <f t="shared" si="0"/>
        <v>-0.10334553058024046</v>
      </c>
      <c r="F15" s="10"/>
      <c r="G15" s="60"/>
      <c r="H15" s="49"/>
      <c r="I15" s="6"/>
    </row>
    <row r="16" spans="1:9" x14ac:dyDescent="0.35">
      <c r="A16" s="16"/>
      <c r="B16" s="17"/>
      <c r="C16" s="59"/>
      <c r="D16" s="24"/>
      <c r="E16" s="49"/>
      <c r="F16" s="17"/>
      <c r="G16" s="59"/>
      <c r="H16" s="49"/>
    </row>
    <row r="17" spans="1:9" x14ac:dyDescent="0.35">
      <c r="A17" s="16" t="s">
        <v>40</v>
      </c>
      <c r="B17" s="12">
        <f>'[1]Elect Budget E'!$C$103</f>
        <v>4000</v>
      </c>
      <c r="C17" s="62">
        <v>8000</v>
      </c>
      <c r="D17" s="27"/>
      <c r="E17" s="49">
        <f t="shared" si="0"/>
        <v>1</v>
      </c>
      <c r="F17" s="12"/>
      <c r="G17" s="62"/>
      <c r="H17" s="49"/>
    </row>
    <row r="18" spans="1:9" x14ac:dyDescent="0.35">
      <c r="A18" s="16" t="s">
        <v>45</v>
      </c>
      <c r="B18" s="17">
        <v>61390</v>
      </c>
      <c r="C18" s="59">
        <v>59459</v>
      </c>
      <c r="D18" s="24"/>
      <c r="E18" s="49">
        <f t="shared" si="0"/>
        <v>-3.1454634305261443E-2</v>
      </c>
      <c r="F18" s="17"/>
      <c r="G18" s="59"/>
      <c r="H18" s="49"/>
    </row>
    <row r="19" spans="1:9" ht="16" x14ac:dyDescent="0.5">
      <c r="A19" s="16" t="s">
        <v>76</v>
      </c>
      <c r="B19" s="10">
        <f>'[2]Elect Budget E'!$B$114</f>
        <v>0</v>
      </c>
      <c r="C19" s="60">
        <v>0</v>
      </c>
      <c r="D19" s="24"/>
      <c r="E19" s="49"/>
      <c r="F19" s="10"/>
      <c r="G19" s="60"/>
      <c r="H19" s="49"/>
    </row>
    <row r="20" spans="1:9" x14ac:dyDescent="0.35">
      <c r="A20" s="16" t="s">
        <v>43</v>
      </c>
      <c r="B20" s="46">
        <f>B15+B17-B18+B19</f>
        <v>0</v>
      </c>
      <c r="C20" s="59">
        <f t="shared" ref="C20:G20" si="3">C15+C17-C18</f>
        <v>0</v>
      </c>
      <c r="D20" s="46">
        <f t="shared" si="3"/>
        <v>0</v>
      </c>
      <c r="E20" s="49"/>
      <c r="F20" s="46"/>
      <c r="G20" s="59"/>
      <c r="H20" s="49"/>
    </row>
    <row r="21" spans="1:9" x14ac:dyDescent="0.35">
      <c r="A21" s="18"/>
      <c r="B21" s="19"/>
      <c r="C21" s="63"/>
      <c r="D21" s="28"/>
      <c r="E21" s="49"/>
      <c r="F21" s="19"/>
      <c r="G21" s="63"/>
      <c r="H21" s="49"/>
    </row>
    <row r="22" spans="1:9" x14ac:dyDescent="0.35">
      <c r="A22" s="13" t="s">
        <v>46</v>
      </c>
      <c r="B22" s="14"/>
      <c r="C22" s="64"/>
      <c r="D22" s="15"/>
      <c r="E22" s="49"/>
      <c r="F22" s="14"/>
      <c r="G22" s="64"/>
      <c r="H22" s="49"/>
    </row>
    <row r="23" spans="1:9" x14ac:dyDescent="0.35">
      <c r="A23" s="16" t="s">
        <v>38</v>
      </c>
      <c r="B23" s="12">
        <f>'[2]Water Budget F'!$B$21</f>
        <v>1063000</v>
      </c>
      <c r="C23" s="62">
        <f>1144750-41000</f>
        <v>1103750</v>
      </c>
      <c r="D23" s="17"/>
      <c r="E23" s="49">
        <f t="shared" si="0"/>
        <v>3.8334901222953903E-2</v>
      </c>
      <c r="F23" s="12"/>
      <c r="G23" s="62"/>
      <c r="H23" s="49"/>
    </row>
    <row r="24" spans="1:9" ht="16" x14ac:dyDescent="0.5">
      <c r="A24" s="16" t="s">
        <v>39</v>
      </c>
      <c r="B24" s="10">
        <f>'[2]Water Budget F'!$B$29</f>
        <v>2000</v>
      </c>
      <c r="C24" s="60">
        <v>2000</v>
      </c>
      <c r="D24" s="10"/>
      <c r="E24" s="49">
        <f t="shared" si="0"/>
        <v>0</v>
      </c>
      <c r="F24" s="10"/>
      <c r="G24" s="60"/>
      <c r="H24" s="49"/>
    </row>
    <row r="25" spans="1:9" x14ac:dyDescent="0.35">
      <c r="A25" s="16" t="s">
        <v>49</v>
      </c>
      <c r="B25" s="12">
        <f>B23+B24</f>
        <v>1065000</v>
      </c>
      <c r="C25" s="62">
        <f t="shared" ref="C25:G25" si="4">C23+C24</f>
        <v>1105750</v>
      </c>
      <c r="D25" s="12">
        <f t="shared" si="4"/>
        <v>0</v>
      </c>
      <c r="E25" s="49">
        <f t="shared" si="0"/>
        <v>3.8262910798122066E-2</v>
      </c>
      <c r="F25" s="12"/>
      <c r="G25" s="62"/>
      <c r="H25" s="49"/>
    </row>
    <row r="26" spans="1:9" x14ac:dyDescent="0.35">
      <c r="A26" s="16"/>
      <c r="B26" s="17"/>
      <c r="C26" s="59"/>
      <c r="D26" s="17"/>
      <c r="E26" s="49"/>
      <c r="F26" s="17"/>
      <c r="G26" s="59"/>
      <c r="H26" s="49"/>
      <c r="I26" s="6"/>
    </row>
    <row r="27" spans="1:9" x14ac:dyDescent="0.35">
      <c r="A27" s="16" t="s">
        <v>44</v>
      </c>
      <c r="B27" s="17">
        <f>'[2]Water Budget F'!$B$443+'[2]Water Budget F'!$B$382</f>
        <v>593061</v>
      </c>
      <c r="C27" s="59">
        <v>670690</v>
      </c>
      <c r="D27" s="17"/>
      <c r="E27" s="49">
        <f t="shared" si="0"/>
        <v>0.13089547280971098</v>
      </c>
      <c r="F27" s="17"/>
      <c r="G27" s="59"/>
      <c r="H27" s="49"/>
      <c r="I27" s="6"/>
    </row>
    <row r="28" spans="1:9" x14ac:dyDescent="0.35">
      <c r="A28" s="16" t="s">
        <v>41</v>
      </c>
      <c r="B28" s="17">
        <f>'[2]Water Budget F'!$B$407-'[2]Water Budget F'!$B$391-'[2]Water Budget F'!$B$382-'[2]Water Budget F'!$B$443-'[2]Water Budget F'!$B$59-100500</f>
        <v>475814</v>
      </c>
      <c r="C28" s="59">
        <f>574060.26-150000+15887</f>
        <v>439947.26</v>
      </c>
      <c r="D28" s="17"/>
      <c r="E28" s="49">
        <f t="shared" si="0"/>
        <v>-7.5379749229741014E-2</v>
      </c>
      <c r="F28" s="17"/>
      <c r="G28" s="59"/>
      <c r="H28" s="49"/>
    </row>
    <row r="29" spans="1:9" ht="16" x14ac:dyDescent="0.5">
      <c r="A29" s="16" t="s">
        <v>42</v>
      </c>
      <c r="B29" s="10">
        <v>100500</v>
      </c>
      <c r="C29" s="60">
        <v>150000</v>
      </c>
      <c r="D29" s="10"/>
      <c r="E29" s="49">
        <f t="shared" si="0"/>
        <v>0.4925373134328358</v>
      </c>
      <c r="F29" s="10"/>
      <c r="G29" s="60"/>
      <c r="H29" s="49"/>
    </row>
    <row r="30" spans="1:9" ht="16" x14ac:dyDescent="0.5">
      <c r="A30" s="16" t="s">
        <v>48</v>
      </c>
      <c r="B30" s="10">
        <f>B27+B28+B29</f>
        <v>1169375</v>
      </c>
      <c r="C30" s="60">
        <f t="shared" ref="C30:G30" si="5">C27+C28+C29</f>
        <v>1260637.26</v>
      </c>
      <c r="D30" s="10">
        <f t="shared" si="5"/>
        <v>0</v>
      </c>
      <c r="E30" s="49">
        <f t="shared" si="0"/>
        <v>7.8043621592731163E-2</v>
      </c>
      <c r="F30" s="10"/>
      <c r="G30" s="60"/>
      <c r="H30" s="49"/>
    </row>
    <row r="31" spans="1:9" ht="16" x14ac:dyDescent="0.5">
      <c r="A31" s="16" t="s">
        <v>53</v>
      </c>
      <c r="B31" s="11">
        <f>B25-B30</f>
        <v>-104375</v>
      </c>
      <c r="C31" s="65">
        <f t="shared" ref="C31:G31" si="6">C25-C30</f>
        <v>-154887.26</v>
      </c>
      <c r="D31" s="11">
        <f t="shared" si="6"/>
        <v>0</v>
      </c>
      <c r="E31" s="49">
        <f t="shared" si="0"/>
        <v>0.48394979640718572</v>
      </c>
      <c r="F31" s="11"/>
      <c r="G31" s="65"/>
      <c r="H31" s="49"/>
    </row>
    <row r="32" spans="1:9" ht="16" x14ac:dyDescent="0.5">
      <c r="A32" s="16"/>
      <c r="B32" s="10"/>
      <c r="C32" s="60"/>
      <c r="D32" s="10"/>
      <c r="E32" s="49"/>
      <c r="F32" s="10"/>
      <c r="G32" s="60"/>
      <c r="H32" s="49"/>
    </row>
    <row r="33" spans="1:8" x14ac:dyDescent="0.35">
      <c r="A33" s="16" t="s">
        <v>77</v>
      </c>
      <c r="B33" s="12">
        <f>'[2]Water Budget F'!$B$24</f>
        <v>40000</v>
      </c>
      <c r="C33" s="62">
        <v>37000</v>
      </c>
      <c r="D33" s="12"/>
      <c r="E33" s="49">
        <f t="shared" si="0"/>
        <v>-7.4999999999999997E-2</v>
      </c>
      <c r="F33" s="12"/>
      <c r="G33" s="62"/>
      <c r="H33" s="49"/>
    </row>
    <row r="34" spans="1:8" x14ac:dyDescent="0.35">
      <c r="A34" s="16" t="s">
        <v>78</v>
      </c>
      <c r="B34" s="12">
        <f>'[2]Water Budget F'!$B$391</f>
        <v>34125</v>
      </c>
      <c r="C34" s="62">
        <v>32113</v>
      </c>
      <c r="D34" s="12"/>
      <c r="E34" s="49">
        <f t="shared" si="0"/>
        <v>-5.895970695970696E-2</v>
      </c>
      <c r="F34" s="12"/>
      <c r="G34" s="62"/>
      <c r="H34" s="49"/>
    </row>
    <row r="35" spans="1:8" x14ac:dyDescent="0.35">
      <c r="A35" s="16" t="s">
        <v>79</v>
      </c>
      <c r="B35" s="12">
        <v>100500</v>
      </c>
      <c r="C35" s="62">
        <v>150000</v>
      </c>
      <c r="D35" s="12"/>
      <c r="E35" s="49">
        <f t="shared" si="0"/>
        <v>0.4925373134328358</v>
      </c>
      <c r="F35" s="12"/>
      <c r="G35" s="62"/>
      <c r="H35" s="49"/>
    </row>
    <row r="36" spans="1:8" ht="16" x14ac:dyDescent="0.5">
      <c r="A36" s="16"/>
      <c r="B36" s="10"/>
      <c r="C36" s="60"/>
      <c r="D36" s="10"/>
      <c r="E36" s="49"/>
      <c r="F36" s="10"/>
      <c r="G36" s="60"/>
      <c r="H36" s="49"/>
    </row>
    <row r="37" spans="1:8" ht="16" x14ac:dyDescent="0.5">
      <c r="A37" s="16" t="s">
        <v>52</v>
      </c>
      <c r="B37" s="54">
        <f>B31+B33-B34+B35</f>
        <v>2000</v>
      </c>
      <c r="C37" s="65">
        <f>C31+C33-C34+C35</f>
        <v>-0.26000000000931323</v>
      </c>
      <c r="D37" s="54">
        <f t="shared" ref="D37" si="7">D31+D33-D34</f>
        <v>0</v>
      </c>
      <c r="E37" s="49">
        <f t="shared" si="0"/>
        <v>-1.0001300000000046</v>
      </c>
      <c r="F37" s="54"/>
      <c r="G37" s="65"/>
      <c r="H37" s="49"/>
    </row>
    <row r="38" spans="1:8" x14ac:dyDescent="0.35">
      <c r="A38" s="18"/>
      <c r="B38" s="19"/>
      <c r="C38" s="63"/>
      <c r="D38" s="19"/>
      <c r="E38" s="49"/>
      <c r="F38" s="19"/>
      <c r="G38" s="63"/>
      <c r="H38" s="49"/>
    </row>
    <row r="39" spans="1:8" x14ac:dyDescent="0.35">
      <c r="A39" s="13" t="s">
        <v>57</v>
      </c>
      <c r="B39" s="14"/>
      <c r="C39" s="64"/>
      <c r="D39" s="15"/>
      <c r="E39" s="49"/>
      <c r="F39" s="14"/>
      <c r="G39" s="64"/>
      <c r="H39" s="49"/>
    </row>
    <row r="40" spans="1:8" x14ac:dyDescent="0.35">
      <c r="A40" s="16" t="s">
        <v>38</v>
      </c>
      <c r="B40" s="12">
        <f>'[2]Sewer Budget G'!$B$20</f>
        <v>1149820</v>
      </c>
      <c r="C40" s="62">
        <f>1526490-25500-281840</f>
        <v>1219150</v>
      </c>
      <c r="D40" s="17"/>
      <c r="E40" s="49">
        <f t="shared" si="0"/>
        <v>6.0296394218225462E-2</v>
      </c>
      <c r="F40" s="12"/>
      <c r="G40" s="62"/>
      <c r="H40" s="49"/>
    </row>
    <row r="41" spans="1:8" ht="16" x14ac:dyDescent="0.5">
      <c r="A41" s="16" t="s">
        <v>39</v>
      </c>
      <c r="B41" s="10">
        <f>'[2]Sewer Budget G'!$B$25</f>
        <v>270000</v>
      </c>
      <c r="C41" s="60">
        <f>281840</f>
        <v>281840</v>
      </c>
      <c r="D41" s="10"/>
      <c r="E41" s="49">
        <f t="shared" si="0"/>
        <v>4.385185185185185E-2</v>
      </c>
      <c r="F41" s="10"/>
      <c r="G41" s="60"/>
      <c r="H41" s="49"/>
    </row>
    <row r="42" spans="1:8" x14ac:dyDescent="0.35">
      <c r="A42" s="16" t="s">
        <v>62</v>
      </c>
      <c r="B42" s="12">
        <f>B40+B41</f>
        <v>1419820</v>
      </c>
      <c r="C42" s="62">
        <f t="shared" ref="C42:G42" si="8">C40+C41</f>
        <v>1500990</v>
      </c>
      <c r="D42" s="12">
        <f t="shared" si="8"/>
        <v>0</v>
      </c>
      <c r="E42" s="49">
        <f t="shared" si="0"/>
        <v>5.7169218633347889E-2</v>
      </c>
      <c r="F42" s="12"/>
      <c r="G42" s="62"/>
      <c r="H42" s="49"/>
    </row>
    <row r="43" spans="1:8" x14ac:dyDescent="0.35">
      <c r="A43" s="16"/>
      <c r="B43" s="17"/>
      <c r="C43" s="59"/>
      <c r="D43" s="17"/>
      <c r="E43" s="49"/>
      <c r="F43" s="17"/>
      <c r="G43" s="59"/>
      <c r="H43" s="49"/>
    </row>
    <row r="44" spans="1:8" x14ac:dyDescent="0.35">
      <c r="A44" s="16" t="s">
        <v>44</v>
      </c>
      <c r="B44" s="17">
        <f>'[2]Sewer Budget G'!$B$406+'[2]Sewer Budget G'!$B$326</f>
        <v>583047</v>
      </c>
      <c r="C44" s="59">
        <v>590296</v>
      </c>
      <c r="D44" s="17"/>
      <c r="E44" s="49">
        <f t="shared" si="0"/>
        <v>1.2432959950055484E-2</v>
      </c>
      <c r="F44" s="17"/>
      <c r="G44" s="59"/>
      <c r="H44" s="49"/>
    </row>
    <row r="45" spans="1:8" x14ac:dyDescent="0.35">
      <c r="A45" s="16" t="s">
        <v>41</v>
      </c>
      <c r="B45" s="17">
        <f>'[2]Sewer Budget G'!$B$341-'[2]Sewer Budget G'!$B$406-'[2]Sewer Budget G'!$B$326-45400</f>
        <v>941272.99999999988</v>
      </c>
      <c r="C45" s="59">
        <v>946889</v>
      </c>
      <c r="D45" s="17"/>
      <c r="E45" s="49">
        <f t="shared" si="0"/>
        <v>5.9663880723234567E-3</v>
      </c>
      <c r="F45" s="46"/>
      <c r="G45" s="59"/>
      <c r="H45" s="49"/>
    </row>
    <row r="46" spans="1:8" ht="16" x14ac:dyDescent="0.5">
      <c r="A46" s="16" t="s">
        <v>42</v>
      </c>
      <c r="B46" s="10">
        <v>45400</v>
      </c>
      <c r="C46" s="60">
        <v>91000</v>
      </c>
      <c r="D46" s="10"/>
      <c r="E46" s="49">
        <f t="shared" si="0"/>
        <v>1.0044052863436124</v>
      </c>
      <c r="F46" s="10"/>
      <c r="G46" s="60"/>
      <c r="H46" s="49"/>
    </row>
    <row r="47" spans="1:8" ht="16" x14ac:dyDescent="0.5">
      <c r="A47" s="16" t="s">
        <v>63</v>
      </c>
      <c r="B47" s="10">
        <f>B44+B45+B46</f>
        <v>1569720</v>
      </c>
      <c r="C47" s="60">
        <f t="shared" ref="C47" si="9">C44+C45+C46</f>
        <v>1628185</v>
      </c>
      <c r="D47" s="10">
        <f t="shared" ref="D47" si="10">D44+D45+D46</f>
        <v>0</v>
      </c>
      <c r="E47" s="49">
        <f t="shared" si="0"/>
        <v>3.7245496012027625E-2</v>
      </c>
      <c r="F47" s="10"/>
      <c r="G47" s="60"/>
      <c r="H47" s="49"/>
    </row>
    <row r="48" spans="1:8" ht="16" x14ac:dyDescent="0.5">
      <c r="A48" s="16" t="s">
        <v>53</v>
      </c>
      <c r="B48" s="11">
        <f>B42-B47</f>
        <v>-149900</v>
      </c>
      <c r="C48" s="65">
        <f t="shared" ref="C48" si="11">C42-C47</f>
        <v>-127195</v>
      </c>
      <c r="D48" s="11">
        <f t="shared" ref="D48" si="12">D42-D47</f>
        <v>0</v>
      </c>
      <c r="E48" s="49">
        <f t="shared" si="0"/>
        <v>-0.15146764509673116</v>
      </c>
      <c r="F48" s="11"/>
      <c r="G48" s="65"/>
      <c r="H48" s="49"/>
    </row>
    <row r="49" spans="1:8" ht="16" x14ac:dyDescent="0.5">
      <c r="A49" s="16"/>
      <c r="B49" s="10"/>
      <c r="C49" s="60"/>
      <c r="D49" s="10"/>
      <c r="E49" s="49"/>
      <c r="F49" s="10"/>
      <c r="G49" s="60"/>
      <c r="H49" s="49"/>
    </row>
    <row r="50" spans="1:8" x14ac:dyDescent="0.35">
      <c r="A50" s="16" t="s">
        <v>50</v>
      </c>
      <c r="B50" s="12">
        <f>'[2]Sewer Budget G'!$B$28</f>
        <v>41500</v>
      </c>
      <c r="C50" s="62">
        <v>25500</v>
      </c>
      <c r="D50" s="12"/>
      <c r="E50" s="49">
        <f t="shared" si="0"/>
        <v>-0.38554216867469882</v>
      </c>
      <c r="F50" s="12"/>
      <c r="G50" s="62"/>
      <c r="H50" s="49"/>
    </row>
    <row r="51" spans="1:8" x14ac:dyDescent="0.35">
      <c r="A51" s="16" t="s">
        <v>58</v>
      </c>
      <c r="B51" s="12">
        <v>0</v>
      </c>
      <c r="C51" s="62">
        <v>0</v>
      </c>
      <c r="D51" s="12"/>
      <c r="E51" s="49"/>
      <c r="F51" s="12"/>
      <c r="G51" s="62"/>
      <c r="H51" s="49"/>
    </row>
    <row r="52" spans="1:8" x14ac:dyDescent="0.35">
      <c r="A52" s="16" t="s">
        <v>59</v>
      </c>
      <c r="B52" s="12">
        <v>0</v>
      </c>
      <c r="C52" s="62">
        <v>0</v>
      </c>
      <c r="D52" s="12"/>
      <c r="E52" s="49"/>
      <c r="F52" s="12"/>
      <c r="G52" s="62"/>
      <c r="H52" s="49"/>
    </row>
    <row r="53" spans="1:8" x14ac:dyDescent="0.35">
      <c r="A53" s="16" t="s">
        <v>60</v>
      </c>
      <c r="B53" s="12">
        <v>0</v>
      </c>
      <c r="C53" s="62">
        <v>0</v>
      </c>
      <c r="D53" s="12"/>
      <c r="E53" s="49"/>
      <c r="F53" s="12"/>
      <c r="G53" s="62"/>
      <c r="H53" s="49"/>
    </row>
    <row r="54" spans="1:8" x14ac:dyDescent="0.35">
      <c r="A54" s="16" t="s">
        <v>51</v>
      </c>
      <c r="B54" s="12">
        <v>0</v>
      </c>
      <c r="C54" s="62">
        <v>0</v>
      </c>
      <c r="D54" s="12"/>
      <c r="E54" s="49"/>
      <c r="F54" s="12"/>
      <c r="G54" s="62"/>
      <c r="H54" s="49"/>
    </row>
    <row r="55" spans="1:8" x14ac:dyDescent="0.35">
      <c r="A55" s="16" t="s">
        <v>75</v>
      </c>
      <c r="B55" s="12">
        <f>'[2]Sewer Budget G'!$B$39</f>
        <v>108400</v>
      </c>
      <c r="C55" s="62">
        <v>101695</v>
      </c>
      <c r="D55" s="12"/>
      <c r="E55" s="49">
        <f t="shared" si="0"/>
        <v>-6.1854243542435426E-2</v>
      </c>
      <c r="F55" s="12"/>
      <c r="G55" s="62"/>
      <c r="H55" s="49"/>
    </row>
    <row r="56" spans="1:8" ht="16" x14ac:dyDescent="0.5">
      <c r="A56" s="16"/>
      <c r="B56" s="10"/>
      <c r="C56" s="60"/>
      <c r="D56" s="10"/>
      <c r="E56" s="49"/>
      <c r="F56" s="10"/>
      <c r="G56" s="60"/>
      <c r="H56" s="49"/>
    </row>
    <row r="57" spans="1:8" ht="16" x14ac:dyDescent="0.5">
      <c r="A57" s="16" t="s">
        <v>66</v>
      </c>
      <c r="B57" s="55">
        <f>B48+B50-B54+B51+B52+B53+B55</f>
        <v>0</v>
      </c>
      <c r="C57" s="66">
        <f>C48+C50-C54+C51+C52+C53+C55</f>
        <v>0</v>
      </c>
      <c r="D57" s="54">
        <f t="shared" ref="C57:D57" si="13">D48+D50-D54+D51+D52+D53</f>
        <v>0</v>
      </c>
      <c r="E57" s="49"/>
      <c r="F57" s="55"/>
      <c r="G57" s="65"/>
      <c r="H57" s="49"/>
    </row>
    <row r="58" spans="1:8" x14ac:dyDescent="0.35">
      <c r="A58" s="18"/>
      <c r="B58" s="19"/>
      <c r="C58" s="63"/>
      <c r="D58" s="19"/>
      <c r="E58" s="49"/>
      <c r="F58" s="19"/>
      <c r="G58" s="63"/>
      <c r="H58" s="49"/>
    </row>
    <row r="59" spans="1:8" x14ac:dyDescent="0.35">
      <c r="A59" s="13" t="s">
        <v>61</v>
      </c>
      <c r="B59" s="14"/>
      <c r="C59" s="64"/>
      <c r="D59" s="15"/>
      <c r="E59" s="49"/>
      <c r="F59" s="14"/>
      <c r="G59" s="64"/>
      <c r="H59" s="49"/>
    </row>
    <row r="60" spans="1:8" x14ac:dyDescent="0.35">
      <c r="A60" s="16" t="s">
        <v>38</v>
      </c>
      <c r="B60" s="12">
        <f>'[2]Refuse Budget R'!$B$14</f>
        <v>421800</v>
      </c>
      <c r="C60" s="62">
        <v>430220</v>
      </c>
      <c r="D60" s="17"/>
      <c r="E60" s="49">
        <f t="shared" si="0"/>
        <v>1.9962067330488383E-2</v>
      </c>
      <c r="F60" s="12"/>
      <c r="G60" s="62"/>
      <c r="H60" s="49"/>
    </row>
    <row r="61" spans="1:8" ht="16" x14ac:dyDescent="0.5">
      <c r="A61" s="16" t="s">
        <v>39</v>
      </c>
      <c r="B61" s="10">
        <v>0</v>
      </c>
      <c r="C61" s="60">
        <f>'[1]Water Budget F'!$E$29</f>
        <v>0</v>
      </c>
      <c r="D61" s="10"/>
      <c r="E61" s="49"/>
      <c r="F61" s="10"/>
      <c r="G61" s="60"/>
      <c r="H61" s="49"/>
    </row>
    <row r="62" spans="1:8" x14ac:dyDescent="0.35">
      <c r="A62" s="16" t="s">
        <v>64</v>
      </c>
      <c r="B62" s="12">
        <f>B60+B61</f>
        <v>421800</v>
      </c>
      <c r="C62" s="62">
        <f t="shared" ref="C62" si="14">C60+C61</f>
        <v>430220</v>
      </c>
      <c r="D62" s="12">
        <f t="shared" ref="D62" si="15">D60+D61</f>
        <v>0</v>
      </c>
      <c r="E62" s="49">
        <f t="shared" si="0"/>
        <v>1.9962067330488383E-2</v>
      </c>
      <c r="F62" s="12"/>
      <c r="G62" s="62"/>
      <c r="H62" s="49"/>
    </row>
    <row r="63" spans="1:8" x14ac:dyDescent="0.35">
      <c r="A63" s="16"/>
      <c r="B63" s="17"/>
      <c r="C63" s="59"/>
      <c r="D63" s="17"/>
      <c r="E63" s="49"/>
      <c r="F63" s="17"/>
      <c r="G63" s="59"/>
      <c r="H63" s="49"/>
    </row>
    <row r="64" spans="1:8" x14ac:dyDescent="0.35">
      <c r="A64" s="16" t="s">
        <v>44</v>
      </c>
      <c r="B64" s="17">
        <f>'[2]Refuse Budget R'!$B$144+'[2]Refuse Budget R'!$B$113</f>
        <v>112813.58</v>
      </c>
      <c r="C64" s="59">
        <v>117386</v>
      </c>
      <c r="D64" s="17"/>
      <c r="E64" s="49">
        <f t="shared" si="0"/>
        <v>4.0530758796946238E-2</v>
      </c>
      <c r="F64" s="17"/>
      <c r="G64" s="59"/>
      <c r="H64" s="49"/>
    </row>
    <row r="65" spans="1:8" x14ac:dyDescent="0.35">
      <c r="A65" s="16" t="s">
        <v>41</v>
      </c>
      <c r="B65" s="17">
        <f>'[2]Refuse Budget R'!$B$124-'[2]Refuse Budget R'!$B$113-'[2]Refuse Budget R'!$B$144</f>
        <v>310486.42</v>
      </c>
      <c r="C65" s="59">
        <f>315734</f>
        <v>315734</v>
      </c>
      <c r="D65" s="17"/>
      <c r="E65" s="49">
        <f t="shared" si="0"/>
        <v>1.6901157867065544E-2</v>
      </c>
      <c r="F65" s="17"/>
      <c r="G65" s="59"/>
      <c r="H65" s="49"/>
    </row>
    <row r="66" spans="1:8" ht="16" x14ac:dyDescent="0.5">
      <c r="A66" s="16" t="s">
        <v>42</v>
      </c>
      <c r="B66" s="10">
        <v>0</v>
      </c>
      <c r="C66" s="60">
        <v>0</v>
      </c>
      <c r="D66" s="10"/>
      <c r="E66" s="49"/>
      <c r="F66" s="10"/>
      <c r="G66" s="60"/>
      <c r="H66" s="49"/>
    </row>
    <row r="67" spans="1:8" ht="16" x14ac:dyDescent="0.5">
      <c r="A67" s="16" t="s">
        <v>65</v>
      </c>
      <c r="B67" s="10">
        <f>B64+B65+B66</f>
        <v>423300</v>
      </c>
      <c r="C67" s="60">
        <f t="shared" ref="C67" si="16">C64+C65+C66</f>
        <v>433120</v>
      </c>
      <c r="D67" s="10">
        <f t="shared" ref="D67" si="17">D64+D65+D66</f>
        <v>0</v>
      </c>
      <c r="E67" s="49">
        <f t="shared" si="0"/>
        <v>2.3198677061185922E-2</v>
      </c>
      <c r="F67" s="10"/>
      <c r="G67" s="60"/>
      <c r="H67" s="49"/>
    </row>
    <row r="68" spans="1:8" ht="16" x14ac:dyDescent="0.5">
      <c r="A68" s="16" t="s">
        <v>53</v>
      </c>
      <c r="B68" s="11">
        <f>B62-B67</f>
        <v>-1500</v>
      </c>
      <c r="C68" s="65">
        <f t="shared" ref="C68" si="18">C62-C67</f>
        <v>-2900</v>
      </c>
      <c r="D68" s="11">
        <f t="shared" ref="D68" si="19">D62-D67</f>
        <v>0</v>
      </c>
      <c r="E68" s="49"/>
      <c r="F68" s="11"/>
      <c r="G68" s="65"/>
      <c r="H68" s="49"/>
    </row>
    <row r="69" spans="1:8" ht="16" x14ac:dyDescent="0.5">
      <c r="A69" s="16"/>
      <c r="B69" s="10"/>
      <c r="C69" s="60"/>
      <c r="D69" s="10"/>
      <c r="E69" s="49"/>
      <c r="F69" s="10"/>
      <c r="G69" s="60"/>
      <c r="H69" s="49"/>
    </row>
    <row r="70" spans="1:8" x14ac:dyDescent="0.35">
      <c r="A70" s="16" t="s">
        <v>50</v>
      </c>
      <c r="B70" s="12">
        <f>'[2]Refuse Budget R'!$B$17</f>
        <v>1500</v>
      </c>
      <c r="C70" s="62">
        <v>2900</v>
      </c>
      <c r="D70" s="12"/>
      <c r="E70" s="49"/>
      <c r="F70" s="12"/>
      <c r="G70" s="62"/>
      <c r="H70" s="49"/>
    </row>
    <row r="71" spans="1:8" x14ac:dyDescent="0.35">
      <c r="A71" s="16" t="s">
        <v>51</v>
      </c>
      <c r="B71" s="12">
        <v>0</v>
      </c>
      <c r="C71" s="62">
        <v>0</v>
      </c>
      <c r="D71" s="12"/>
      <c r="E71" s="49"/>
      <c r="F71" s="12"/>
      <c r="G71" s="62"/>
      <c r="H71" s="48"/>
    </row>
    <row r="72" spans="1:8" ht="16" x14ac:dyDescent="0.5">
      <c r="A72" s="16"/>
      <c r="B72" s="10"/>
      <c r="C72" s="60"/>
      <c r="D72" s="10"/>
      <c r="E72" s="49"/>
      <c r="F72" s="10"/>
      <c r="G72" s="60"/>
      <c r="H72" s="48"/>
    </row>
    <row r="73" spans="1:8" ht="16" x14ac:dyDescent="0.5">
      <c r="A73" s="16" t="s">
        <v>67</v>
      </c>
      <c r="B73" s="54">
        <f>B68+B70-B71</f>
        <v>0</v>
      </c>
      <c r="C73" s="65">
        <f t="shared" ref="C73:D73" si="20">C68+C70-C71</f>
        <v>0</v>
      </c>
      <c r="D73" s="54">
        <f t="shared" si="20"/>
        <v>0</v>
      </c>
      <c r="E73" s="53"/>
      <c r="F73" s="54"/>
      <c r="G73" s="65"/>
      <c r="H73" s="48"/>
    </row>
    <row r="74" spans="1:8" x14ac:dyDescent="0.35">
      <c r="A74" s="18"/>
      <c r="B74" s="56"/>
      <c r="C74" s="63"/>
      <c r="D74" s="56"/>
      <c r="E74" s="57"/>
      <c r="F74" s="56"/>
      <c r="G74" s="63"/>
      <c r="H74" s="50"/>
    </row>
    <row r="75" spans="1:8" x14ac:dyDescent="0.35">
      <c r="B75" s="5"/>
      <c r="C75" s="5"/>
      <c r="D75" s="5"/>
      <c r="E75" s="5"/>
      <c r="F75" s="5"/>
      <c r="G75" s="5"/>
    </row>
    <row r="76" spans="1:8" x14ac:dyDescent="0.35">
      <c r="B76" s="5"/>
      <c r="C76" s="5"/>
      <c r="D76" s="5"/>
      <c r="E76" s="5"/>
      <c r="F76" s="5"/>
      <c r="G76" s="5"/>
    </row>
    <row r="77" spans="1:8" x14ac:dyDescent="0.35">
      <c r="B77" s="5"/>
      <c r="C77" s="5"/>
      <c r="D77" s="5"/>
      <c r="E77" s="5"/>
      <c r="F77" s="5"/>
      <c r="G77" s="5"/>
    </row>
    <row r="78" spans="1:8" x14ac:dyDescent="0.35">
      <c r="B78" s="5"/>
      <c r="C78" s="5"/>
      <c r="D78" s="5"/>
      <c r="E78" s="5"/>
      <c r="F78" s="5"/>
      <c r="G78" s="5"/>
    </row>
    <row r="79" spans="1:8" x14ac:dyDescent="0.35">
      <c r="B79" s="5"/>
      <c r="C79" s="5"/>
      <c r="D79" s="5"/>
      <c r="E79" s="5"/>
      <c r="F79" s="5"/>
      <c r="G79" s="5"/>
    </row>
    <row r="80" spans="1:8" x14ac:dyDescent="0.35">
      <c r="B80" s="5"/>
      <c r="C80" s="5"/>
      <c r="D80" s="5"/>
      <c r="E80" s="5"/>
      <c r="F80" s="5"/>
      <c r="G80" s="5"/>
    </row>
    <row r="81" spans="2:7" x14ac:dyDescent="0.35">
      <c r="B81" s="5"/>
      <c r="C81" s="5"/>
      <c r="D81" s="5"/>
      <c r="E81" s="5"/>
      <c r="F81" s="5"/>
      <c r="G81" s="5"/>
    </row>
    <row r="82" spans="2:7" x14ac:dyDescent="0.35">
      <c r="B82" s="5"/>
      <c r="C82" s="5"/>
      <c r="D82" s="5"/>
      <c r="E82" s="5"/>
      <c r="F82" s="5"/>
      <c r="G82" s="5"/>
    </row>
    <row r="83" spans="2:7" x14ac:dyDescent="0.35">
      <c r="B83" s="5"/>
      <c r="C83" s="5"/>
      <c r="D83" s="5"/>
      <c r="E83" s="5"/>
      <c r="F83" s="5"/>
      <c r="G83" s="5"/>
    </row>
    <row r="84" spans="2:7" x14ac:dyDescent="0.35">
      <c r="B84" s="5"/>
      <c r="C84" s="5"/>
      <c r="D84" s="5"/>
      <c r="E84" s="5"/>
      <c r="F84" s="5"/>
      <c r="G84" s="5"/>
    </row>
    <row r="85" spans="2:7" x14ac:dyDescent="0.35">
      <c r="B85" s="5"/>
      <c r="C85" s="5"/>
      <c r="D85" s="5"/>
      <c r="E85" s="5"/>
      <c r="F85" s="5"/>
      <c r="G85" s="5"/>
    </row>
    <row r="86" spans="2:7" x14ac:dyDescent="0.35">
      <c r="B86" s="5"/>
      <c r="C86" s="5"/>
      <c r="D86" s="5"/>
      <c r="E86" s="5"/>
      <c r="F86" s="5"/>
      <c r="G86" s="5"/>
    </row>
    <row r="87" spans="2:7" x14ac:dyDescent="0.35">
      <c r="B87" s="5"/>
      <c r="C87" s="5"/>
      <c r="D87" s="5"/>
      <c r="E87" s="5"/>
      <c r="F87" s="5"/>
      <c r="G87" s="5"/>
    </row>
    <row r="88" spans="2:7" x14ac:dyDescent="0.35">
      <c r="B88" s="5"/>
      <c r="C88" s="5"/>
      <c r="D88" s="5"/>
      <c r="E88" s="5"/>
      <c r="F88" s="5"/>
      <c r="G88" s="5"/>
    </row>
    <row r="89" spans="2:7" x14ac:dyDescent="0.35">
      <c r="B89" s="5"/>
      <c r="C89" s="5"/>
      <c r="D89" s="5"/>
      <c r="E89" s="5"/>
      <c r="F89" s="5"/>
      <c r="G89" s="5"/>
    </row>
    <row r="90" spans="2:7" x14ac:dyDescent="0.35">
      <c r="B90" s="5"/>
      <c r="C90" s="5"/>
      <c r="D90" s="5"/>
      <c r="E90" s="5"/>
      <c r="F90" s="5"/>
      <c r="G90" s="5"/>
    </row>
    <row r="91" spans="2:7" x14ac:dyDescent="0.35">
      <c r="B91" s="5"/>
      <c r="C91" s="5"/>
      <c r="D91" s="5"/>
      <c r="E91" s="5"/>
      <c r="F91" s="5"/>
      <c r="G91" s="5"/>
    </row>
    <row r="92" spans="2:7" x14ac:dyDescent="0.35">
      <c r="B92" s="5"/>
      <c r="C92" s="5"/>
      <c r="D92" s="5"/>
      <c r="E92" s="5"/>
      <c r="F92" s="5"/>
      <c r="G92" s="5"/>
    </row>
    <row r="93" spans="2:7" x14ac:dyDescent="0.35">
      <c r="B93" s="5"/>
      <c r="C93" s="5"/>
      <c r="D93" s="5"/>
      <c r="E93" s="5"/>
      <c r="F93" s="5"/>
      <c r="G93" s="5"/>
    </row>
    <row r="94" spans="2:7" x14ac:dyDescent="0.35">
      <c r="B94" s="5"/>
      <c r="C94" s="5"/>
      <c r="D94" s="5"/>
      <c r="E94" s="5"/>
      <c r="F94" s="5"/>
      <c r="G94" s="5"/>
    </row>
    <row r="95" spans="2:7" x14ac:dyDescent="0.35">
      <c r="B95" s="5"/>
      <c r="C95" s="5"/>
      <c r="D95" s="5"/>
      <c r="E95" s="5"/>
      <c r="F95" s="5"/>
      <c r="G95" s="5"/>
    </row>
    <row r="96" spans="2:7" x14ac:dyDescent="0.35">
      <c r="B96" s="5"/>
      <c r="C96" s="5"/>
      <c r="D96" s="5"/>
      <c r="E96" s="5"/>
      <c r="F96" s="5"/>
      <c r="G96" s="5"/>
    </row>
    <row r="97" spans="2:7" x14ac:dyDescent="0.35">
      <c r="B97" s="5"/>
      <c r="C97" s="5"/>
      <c r="D97" s="5"/>
      <c r="E97" s="5"/>
      <c r="F97" s="5"/>
      <c r="G97" s="5"/>
    </row>
    <row r="98" spans="2:7" x14ac:dyDescent="0.35">
      <c r="B98" s="5"/>
      <c r="C98" s="5"/>
      <c r="D98" s="5"/>
      <c r="E98" s="5"/>
      <c r="F98" s="5"/>
      <c r="G98" s="5"/>
    </row>
    <row r="99" spans="2:7" x14ac:dyDescent="0.35">
      <c r="B99" s="5"/>
      <c r="C99" s="5"/>
      <c r="D99" s="5"/>
      <c r="E99" s="5"/>
      <c r="F99" s="5"/>
      <c r="G99" s="5"/>
    </row>
    <row r="100" spans="2:7" x14ac:dyDescent="0.35">
      <c r="B100" s="5"/>
      <c r="C100" s="5"/>
      <c r="D100" s="5"/>
      <c r="E100" s="5"/>
      <c r="F100" s="5"/>
      <c r="G100" s="5"/>
    </row>
    <row r="101" spans="2:7" x14ac:dyDescent="0.35">
      <c r="B101" s="5"/>
      <c r="C101" s="5"/>
      <c r="D101" s="5"/>
      <c r="E101" s="5"/>
      <c r="F101" s="5"/>
      <c r="G101" s="5"/>
    </row>
    <row r="102" spans="2:7" x14ac:dyDescent="0.35">
      <c r="B102" s="5"/>
      <c r="C102" s="5"/>
      <c r="D102" s="5"/>
      <c r="E102" s="5"/>
      <c r="F102" s="5"/>
      <c r="G102" s="5"/>
    </row>
    <row r="103" spans="2:7" x14ac:dyDescent="0.35">
      <c r="B103" s="5"/>
      <c r="C103" s="5"/>
      <c r="D103" s="5"/>
      <c r="E103" s="5"/>
      <c r="F103" s="5"/>
      <c r="G103" s="5"/>
    </row>
    <row r="104" spans="2:7" x14ac:dyDescent="0.35">
      <c r="B104" s="5"/>
      <c r="C104" s="5"/>
      <c r="D104" s="5"/>
      <c r="E104" s="5"/>
      <c r="F104" s="5"/>
      <c r="G104" s="5"/>
    </row>
    <row r="105" spans="2:7" x14ac:dyDescent="0.35">
      <c r="B105" s="5"/>
      <c r="C105" s="5"/>
      <c r="D105" s="5"/>
      <c r="E105" s="5"/>
      <c r="F105" s="5"/>
      <c r="G105" s="5"/>
    </row>
    <row r="106" spans="2:7" x14ac:dyDescent="0.35">
      <c r="B106" s="5"/>
      <c r="C106" s="5"/>
      <c r="D106" s="5"/>
      <c r="E106" s="5"/>
      <c r="F106" s="5"/>
      <c r="G106" s="5"/>
    </row>
    <row r="107" spans="2:7" x14ac:dyDescent="0.35">
      <c r="B107" s="5"/>
      <c r="C107" s="5"/>
      <c r="D107" s="5"/>
      <c r="E107" s="5"/>
      <c r="F107" s="5"/>
      <c r="G107" s="5"/>
    </row>
    <row r="108" spans="2:7" x14ac:dyDescent="0.35">
      <c r="B108" s="5"/>
      <c r="C108" s="5"/>
      <c r="D108" s="5"/>
      <c r="E108" s="5"/>
      <c r="F108" s="5"/>
      <c r="G108" s="5"/>
    </row>
    <row r="109" spans="2:7" x14ac:dyDescent="0.35">
      <c r="B109" s="5"/>
      <c r="C109" s="5"/>
      <c r="D109" s="5"/>
      <c r="E109" s="5"/>
      <c r="F109" s="5"/>
      <c r="G109" s="5"/>
    </row>
    <row r="110" spans="2:7" x14ac:dyDescent="0.35">
      <c r="B110" s="5"/>
      <c r="C110" s="5"/>
      <c r="D110" s="5"/>
      <c r="E110" s="5"/>
      <c r="F110" s="5"/>
      <c r="G110" s="5"/>
    </row>
    <row r="111" spans="2:7" x14ac:dyDescent="0.35">
      <c r="B111" s="5"/>
      <c r="C111" s="5"/>
      <c r="D111" s="5"/>
      <c r="E111" s="5"/>
      <c r="F111" s="5"/>
      <c r="G111" s="5"/>
    </row>
    <row r="112" spans="2:7" x14ac:dyDescent="0.35">
      <c r="B112" s="5"/>
      <c r="C112" s="5"/>
      <c r="D112" s="5"/>
      <c r="E112" s="5"/>
      <c r="F112" s="5"/>
      <c r="G112" s="5"/>
    </row>
    <row r="113" spans="2:7" x14ac:dyDescent="0.35">
      <c r="B113" s="5"/>
      <c r="C113" s="5"/>
      <c r="D113" s="5"/>
      <c r="E113" s="5"/>
      <c r="F113" s="5"/>
      <c r="G113" s="5"/>
    </row>
    <row r="114" spans="2:7" x14ac:dyDescent="0.35">
      <c r="B114" s="5"/>
      <c r="C114" s="5"/>
      <c r="D114" s="5"/>
      <c r="E114" s="5"/>
      <c r="F114" s="5"/>
      <c r="G114" s="5"/>
    </row>
    <row r="115" spans="2:7" x14ac:dyDescent="0.35">
      <c r="B115" s="5"/>
      <c r="C115" s="5"/>
      <c r="D115" s="5"/>
      <c r="E115" s="5"/>
      <c r="F115" s="5"/>
      <c r="G115" s="5"/>
    </row>
    <row r="116" spans="2:7" x14ac:dyDescent="0.35">
      <c r="B116" s="5"/>
      <c r="C116" s="5"/>
      <c r="D116" s="5"/>
      <c r="E116" s="5"/>
      <c r="F116" s="5"/>
      <c r="G116" s="5"/>
    </row>
    <row r="117" spans="2:7" x14ac:dyDescent="0.35">
      <c r="B117" s="5"/>
      <c r="C117" s="5"/>
      <c r="D117" s="5"/>
      <c r="E117" s="5"/>
      <c r="F117" s="5"/>
      <c r="G117" s="5"/>
    </row>
    <row r="118" spans="2:7" x14ac:dyDescent="0.35">
      <c r="B118" s="5"/>
      <c r="C118" s="5"/>
      <c r="D118" s="5"/>
      <c r="E118" s="5"/>
      <c r="F118" s="5"/>
      <c r="G118" s="5"/>
    </row>
    <row r="119" spans="2:7" x14ac:dyDescent="0.35">
      <c r="B119" s="5"/>
      <c r="C119" s="5"/>
      <c r="D119" s="5"/>
      <c r="E119" s="5"/>
      <c r="F119" s="5"/>
      <c r="G119" s="5"/>
    </row>
    <row r="120" spans="2:7" x14ac:dyDescent="0.35">
      <c r="B120" s="5"/>
      <c r="C120" s="5"/>
      <c r="D120" s="5"/>
      <c r="E120" s="5"/>
      <c r="F120" s="5"/>
      <c r="G120" s="5"/>
    </row>
    <row r="121" spans="2:7" x14ac:dyDescent="0.35">
      <c r="B121" s="5"/>
      <c r="C121" s="5"/>
      <c r="D121" s="5"/>
      <c r="E121" s="5"/>
      <c r="F121" s="5"/>
      <c r="G121" s="5"/>
    </row>
    <row r="122" spans="2:7" x14ac:dyDescent="0.35">
      <c r="B122" s="5"/>
      <c r="C122" s="5"/>
      <c r="D122" s="5"/>
      <c r="E122" s="5"/>
      <c r="F122" s="5"/>
      <c r="G122" s="5"/>
    </row>
    <row r="123" spans="2:7" x14ac:dyDescent="0.35">
      <c r="B123" s="5"/>
      <c r="C123" s="5"/>
      <c r="D123" s="5"/>
      <c r="E123" s="5"/>
      <c r="F123" s="5"/>
      <c r="G123" s="5"/>
    </row>
    <row r="124" spans="2:7" x14ac:dyDescent="0.35">
      <c r="B124" s="5"/>
      <c r="C124" s="5"/>
      <c r="D124" s="5"/>
      <c r="E124" s="5"/>
      <c r="F124" s="5"/>
      <c r="G124" s="5"/>
    </row>
    <row r="125" spans="2:7" x14ac:dyDescent="0.35">
      <c r="B125" s="5"/>
      <c r="C125" s="5"/>
      <c r="D125" s="5"/>
      <c r="E125" s="5"/>
      <c r="F125" s="5"/>
      <c r="G125" s="5"/>
    </row>
    <row r="126" spans="2:7" x14ac:dyDescent="0.35">
      <c r="B126" s="5"/>
      <c r="C126" s="5"/>
      <c r="D126" s="5"/>
      <c r="E126" s="5"/>
      <c r="F126" s="5"/>
      <c r="G126" s="5"/>
    </row>
    <row r="127" spans="2:7" x14ac:dyDescent="0.35">
      <c r="B127" s="5"/>
      <c r="C127" s="5"/>
      <c r="D127" s="5"/>
      <c r="E127" s="5"/>
      <c r="F127" s="5"/>
      <c r="G127" s="5"/>
    </row>
    <row r="128" spans="2:7" x14ac:dyDescent="0.35">
      <c r="B128" s="5"/>
      <c r="C128" s="5"/>
      <c r="D128" s="5"/>
      <c r="E128" s="5"/>
      <c r="F128" s="5"/>
      <c r="G128" s="5"/>
    </row>
    <row r="129" spans="2:7" x14ac:dyDescent="0.35">
      <c r="B129" s="5"/>
      <c r="C129" s="5"/>
      <c r="D129" s="5"/>
      <c r="E129" s="5"/>
      <c r="F129" s="5"/>
      <c r="G129" s="5"/>
    </row>
  </sheetData>
  <pageMargins left="0.7" right="0.7" top="0.75" bottom="0.75" header="0.3" footer="0.3"/>
  <pageSetup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</vt:lpstr>
      <vt:lpstr>Enterprise 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Mullen</dc:creator>
  <cp:lastModifiedBy>Melissa Mullen</cp:lastModifiedBy>
  <cp:lastPrinted>2025-11-04T18:25:25Z</cp:lastPrinted>
  <dcterms:created xsi:type="dcterms:W3CDTF">2025-01-27T14:01:54Z</dcterms:created>
  <dcterms:modified xsi:type="dcterms:W3CDTF">2026-04-14T18:55:32Z</dcterms:modified>
</cp:coreProperties>
</file>